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13.xml.rels" ContentType="application/vnd.openxmlformats-package.relationships+xml"/>
  <Override PartName="/xl/worksheets/_rels/sheet5.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ssumptions" sheetId="2" state="visible" r:id="rId4"/>
    <sheet name="Compliance Matrix" sheetId="3" state="visible" r:id="rId5"/>
    <sheet name="Cross-cutting" sheetId="4" state="visible" r:id="rId6"/>
    <sheet name="Staffing Plan" sheetId="5" state="visible" r:id="rId7"/>
    <sheet name="Sprint Plan" sheetId="6" state="visible" r:id="rId8"/>
    <sheet name="Gantt" sheetId="7" state="visible" r:id="rId9"/>
    <sheet name="Roadmap" sheetId="8" state="visible" r:id="rId10"/>
    <sheet name="Effort by Lot" sheetId="9" state="visible" r:id="rId11"/>
    <sheet name="Financial Offer" sheetId="10" state="visible" r:id="rId12"/>
    <sheet name="TCO 5 years" sheetId="11" state="visible" r:id="rId13"/>
    <sheet name="Payment Schedule" sheetId="12" state="visible" r:id="rId14"/>
    <sheet name="Hosting Bill" sheetId="13" state="visible" r:id="rId15"/>
    <sheet name="Deviations" sheetId="14" state="visible" r:id="rId16"/>
  </sheets>
  <definedNames>
    <definedName function="false" hidden="true" localSheetId="2" name="_xlnm._FilterDatabase" vbProcedure="false">'Compliance Matrix'!$A$4:$J$95</definedName>
    <definedName function="false" hidden="true" localSheetId="4" name="_xlnm._FilterDatabase" vbProcedure="false">'Staffing Plan'!$A$4:$L$80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<sst xmlns="http://schemas.openxmlformats.org/spreadsheetml/2006/main" count="1892" uniqueCount="878">
  <si>
    <t xml:space="preserve">FSA Investment Capital – ERP proposal workbook (Ethereal Purpose Lda.)</t>
  </si>
  <si>
    <t xml:space="preserve">Annexes 1 and 2 to the Technical Proposal · version 2, 17 October 2026 · all amounts in US$, excl. taxes</t>
  </si>
  <si>
    <t xml:space="preserve">Sheet</t>
  </si>
  <si>
    <t xml:space="preserve">Content</t>
  </si>
  <si>
    <t xml:space="preserve">Assumptions</t>
  </si>
  <si>
    <t xml:space="preserve">Day rate per role, public holidays, run costs. Blue cells on yellow are inputs.</t>
  </si>
  <si>
    <t xml:space="preserve">Compliance Matrix</t>
  </si>
  <si>
    <t xml:space="preserve">Annex 1 – the 91 requirements: lot, how met, component, estimated build effort, response.</t>
  </si>
  <si>
    <t xml:space="preserve">Cross-cutting</t>
  </si>
  <si>
    <t xml:space="preserve">Build work not tied to one requirement: platform core, integrations, reports, set-up, templates.</t>
  </si>
  <si>
    <t xml:space="preserve">Staffing Plan</t>
  </si>
  <si>
    <t xml:space="preserve">Who works on each phase of each lot: allocation, person-days, rate, cost and responsibilities. This sheet sets the price.</t>
  </si>
  <si>
    <t xml:space="preserve">Sprint Plan</t>
  </si>
  <si>
    <t xml:space="preserve">Every iteration of every lot (design week, two-week sprints, test, UAT, go-live): dates, goal, scope, team days and cost.</t>
  </si>
  <si>
    <t xml:space="preserve">Gantt</t>
  </si>
  <si>
    <t xml:space="preserve">Week-by-week chart of all iterations, with go-live dates and cost per iteration.</t>
  </si>
  <si>
    <t xml:space="preserve">Roadmap</t>
  </si>
  <si>
    <t xml:space="preserve">Phases of each lot with dates, working days, person-days and value, summed from the Staffing Plan.</t>
  </si>
  <si>
    <t xml:space="preserve">Effort by Lot</t>
  </si>
  <si>
    <t xml:space="preserve">Price per lot and a check that the build capacity in the Staffing Plan covers the estimated build work.</t>
  </si>
  <si>
    <t xml:space="preserve">Financial Offer</t>
  </si>
  <si>
    <t xml:space="preserve">Price per lot, payment milestones and recurring fees.</t>
  </si>
  <si>
    <t xml:space="preserve">TCO 5 years</t>
  </si>
  <si>
    <t xml:space="preserve">Proposal component 5: five-year cost of ownership.</t>
  </si>
  <si>
    <t xml:space="preserve">Payment Schedule</t>
  </si>
  <si>
    <t xml:space="preserve">Milestone invoices, FSA's month-by-month outflow in year 1 and years 2 to 5.</t>
  </si>
  <si>
    <t xml:space="preserve">Hosting Bill</t>
  </si>
  <si>
    <t xml:space="preserve">Hosting priced line by line from OVHcloud and Hetzner public list prices; feeds the hosting and backup costs in Assumptions.</t>
  </si>
  <si>
    <t xml:space="preserve">Deviations</t>
  </si>
  <si>
    <t xml:space="preserve">Qualified deviations from the EBRD (Appendix H).</t>
  </si>
  <si>
    <t xml:space="preserve">Legend</t>
  </si>
  <si>
    <t xml:space="preserve">Blue text on yellow = input · black = formula · green = link from another sheet</t>
  </si>
  <si>
    <t xml:space="preserve">Coverage key</t>
  </si>
  <si>
    <t xml:space="preserve">Standard = out of the box in Frappe/ERPNext · Configuration = set up without code · Development = code in the FSA app on the Frappe framework</t>
  </si>
  <si>
    <t xml:space="preserve">Day rates are Ethereal Purpose rates for a Tunisia-based Frappe team working remotely in Mauritius office hours (nearshore cost base).</t>
  </si>
  <si>
    <t xml:space="preserve">Code</t>
  </si>
  <si>
    <t xml:space="preserve">Role</t>
  </si>
  <si>
    <t xml:space="preserve">Day rate (US$)</t>
  </si>
  <si>
    <t xml:space="preserve">EL</t>
  </si>
  <si>
    <t xml:space="preserve">Engagement lead and solution architect (named lead)</t>
  </si>
  <si>
    <t xml:space="preserve">BA</t>
  </si>
  <si>
    <t xml:space="preserve">Functional consultant – investment and finance</t>
  </si>
  <si>
    <t xml:space="preserve">SD1</t>
  </si>
  <si>
    <t xml:space="preserve">Lead Frappe developer – platform core and controls</t>
  </si>
  <si>
    <t xml:space="preserve">SD2</t>
  </si>
  <si>
    <t xml:space="preserve">Senior Frappe developer – finance and integrations</t>
  </si>
  <si>
    <t xml:space="preserve">DEV1</t>
  </si>
  <si>
    <t xml:space="preserve">Frappe developer – governance and compliance</t>
  </si>
  <si>
    <t xml:space="preserve">DEV2</t>
  </si>
  <si>
    <t xml:space="preserve">Frappe developer – procurement, travel, Consultants, KYC</t>
  </si>
  <si>
    <t xml:space="preserve">DEV3</t>
  </si>
  <si>
    <t xml:space="preserve">Frappe developer – reports, dashboards, document templates</t>
  </si>
  <si>
    <t xml:space="preserve">QA</t>
  </si>
  <si>
    <t xml:space="preserve">QA and test engineer</t>
  </si>
  <si>
    <t xml:space="preserve">OPS</t>
  </si>
  <si>
    <t xml:space="preserve">DevOps and security engineer</t>
  </si>
  <si>
    <t xml:space="preserve">Team non-working days</t>
  </si>
  <si>
    <t xml:space="preserve">Year-end days off (24–25 and 31 Dec, 1 Jan). Add Mauritius public holidays here if FSA wants them excluded.</t>
  </si>
  <si>
    <t xml:space="preserve">Run costs</t>
  </si>
  <si>
    <t xml:space="preserve">Cloud hosting – test, UAT and live (per month)</t>
  </si>
  <si>
    <t xml:space="preserve">From the Hosting Bill sheet: OVHcloud live (Paris 3-AZ), test, UAT, monitoring and first backup copy at list price, plus contingency.</t>
  </si>
  <si>
    <t xml:space="preserve">Backups held with a second provider (per month)</t>
  </si>
  <si>
    <t xml:space="preserve">From the Hosting Bill sheet: Hetzner Storage Box BX11 (Germany) and quarterly restore test.</t>
  </si>
  <si>
    <t xml:space="preserve">Support and maintenance retainer (per month)</t>
  </si>
  <si>
    <t xml:space="preserve">Appendix H SLA, upgrades, patches, 4 small changes a month</t>
  </si>
  <si>
    <t xml:space="preserve">Independent penetration test – annual retest (per year)</t>
  </si>
  <si>
    <t xml:space="preserve">Regional certified firm (Tunisia, Morocco or Mauritius); OWASP-based retest of the application and servers</t>
  </si>
  <si>
    <t xml:space="preserve">Software licences (per user per month)</t>
  </si>
  <si>
    <t xml:space="preserve">Frappe and ERPNext are open source: no licence fee</t>
  </si>
  <si>
    <t xml:space="preserve">Annual price indexation from year 2</t>
  </si>
  <si>
    <t xml:space="preserve">On hosting and support</t>
  </si>
  <si>
    <t xml:space="preserve">Named users (estimate, FSA to confirm)</t>
  </si>
  <si>
    <t xml:space="preserve">Consultants, Board, IC, ARC, ITL, CASS, auditors</t>
  </si>
  <si>
    <t xml:space="preserve">Independent penetration test – full test before go-live (one-off)</t>
  </si>
  <si>
    <t xml:space="preserve">Regional certified firm, 4–6 test days, in year 1</t>
  </si>
  <si>
    <t xml:space="preserve">Annex 1 – Compliance matrix</t>
  </si>
  <si>
    <t xml:space="preserve">How each of the 91 requirements in section 5 is met. Effort = estimated build person-days by the developer and functional consultant.</t>
  </si>
  <si>
    <t xml:space="preserve">ID</t>
  </si>
  <si>
    <t xml:space="preserve">Module</t>
  </si>
  <si>
    <t xml:space="preserve">Requirement (EBRD section 5)</t>
  </si>
  <si>
    <t xml:space="preserve">Priority</t>
  </si>
  <si>
    <t xml:space="preserve">Lot / release</t>
  </si>
  <si>
    <t xml:space="preserve">How met</t>
  </si>
  <si>
    <t xml:space="preserve">Component</t>
  </si>
  <si>
    <t xml:space="preserve">Build effort (person-days)</t>
  </si>
  <si>
    <t xml:space="preserve">Ethereal Purpose response</t>
  </si>
  <si>
    <t xml:space="preserve">Deviation (Y/N)</t>
  </si>
  <si>
    <t xml:space="preserve">INV-01</t>
  </si>
  <si>
    <t xml:space="preserve">Investment pipeline and approvals</t>
  </si>
  <si>
    <t xml:space="preserve">Log every lead at first contact and time the entry check (5 BD), the decline notice (21 days) and holds (≤3 months)</t>
  </si>
  <si>
    <t xml:space="preserve">Must</t>
  </si>
  <si>
    <t xml:space="preserve">Lot 1 – Release 1</t>
  </si>
  <si>
    <t xml:space="preserve">Configuration</t>
  </si>
  <si>
    <t xml:space="preserve">FSA Investments app – Lead</t>
  </si>
  <si>
    <t xml:space="preserve">Lead DocType with SLA timers (5 BD entry check, 21-day decline, 3-month hold) from the parameter schedule; reminders and escalation via Notification rules.</t>
  </si>
  <si>
    <t xml:space="preserve">N</t>
  </si>
  <si>
    <t xml:space="preserve">INV-02</t>
  </si>
  <si>
    <t xml:space="preserve">Run open calls through an external portal in English and French, with Q&amp;A, panel scoring and feedback</t>
  </si>
  <si>
    <t xml:space="preserve">Should</t>
  </si>
  <si>
    <t xml:space="preserve">Lot 2 – Release 2</t>
  </si>
  <si>
    <t xml:space="preserve">Development</t>
  </si>
  <si>
    <t xml:space="preserve">Frappe web portal</t>
  </si>
  <si>
    <t xml:space="preserve">Bilingual EN/FR open-call portal built on Frappe Web Forms and portal pages; Q&amp;A thread, panel scoring sheet and feedback letters.</t>
  </si>
  <si>
    <t xml:space="preserve">INV-03</t>
  </si>
  <si>
    <t xml:space="preserve">Screen each lead against the food systems test, the Exclusion List and sanctions (UN list and any funder list). Core eligibility criteria cannot be waived by anyone. For funds, require that no more than 10% of commitments fall outside agri-food, with an FSA excuse right in the side letter</t>
  </si>
  <si>
    <t xml:space="preserve">FSA Investments app – Screening</t>
  </si>
  <si>
    <t xml:space="preserve">Screening checklist (food systems test, Exclusion List) plus sanctions hit check via the screening integration; core criteria coded as non-waivable hard stop; fund 10% agri-food test.</t>
  </si>
  <si>
    <t xml:space="preserve">INV-04</t>
  </si>
  <si>
    <t xml:space="preserve">Hold the Deal Data Sheet. Generate from it the ISN (cleared by the MD, never sent to the IC), PIC Memo, FIA Memo, Updated FIA Memo, Follow-on FIA Memo, Resubmission Addendum, IC Decision Record, Decision Request and Closing Memo</t>
  </si>
  <si>
    <t xml:space="preserve">Deal Data Sheet + template engine</t>
  </si>
  <si>
    <t xml:space="preserve">Deal Data Sheet is the single record; Jinja/Word templates generate ISN, PIC, FIA, Updated/Follow-on FIA, Addendum, Decision Record, Decision Request, Closing Memo. ISN excluded from IC pack by rule.</t>
  </si>
  <si>
    <t xml:space="preserve">INV-05</t>
  </si>
  <si>
    <t xml:space="preserve">Record the track (standard or enhanced) set by the MD on the RCM's advice; enhanced overrides standard. There is no fast track: reimbursable grants below US$1m follow the standard track. Flag any expedited process used (follow-on, resubmission after deadlock, re-approval) and apply its conditions</t>
  </si>
  <si>
    <t xml:space="preserve">Workflow engine</t>
  </si>
  <si>
    <t xml:space="preserve">Track field set by MD with RCM advice recorded first; expedited-process flag with condition checklist; no fast-track path exists in the workflow.</t>
  </si>
  <si>
    <t xml:space="preserve">INV-06</t>
  </si>
  <si>
    <t xml:space="preserve">Track due diligence spend before PIC against the MD's limit; the IC approves spend above it</t>
  </si>
  <si>
    <t xml:space="preserve">Budget control on deal</t>
  </si>
  <si>
    <t xml:space="preserve">Per-deal DD spend counter against MD limit (parameter); above limit routes to IC.</t>
  </si>
  <si>
    <t xml:space="preserve">INV-07</t>
  </si>
  <si>
    <t xml:space="preserve">Run the IC: twice-monthly calendar; one IC pack issued 5 BD before each meeting, admitting only papers the MD cleared at least 7 BD before, and locked after issue except for a Chair-approved correction; special meetings and written resolutions only for post-approval matters, authorised by the Chair, papers 2 BD before; quorum of 3 including 1 Independent; recusals; on a first deadlock, resubmission at either of the next two meetings, a second deadlock rejects; Decision Record within 2 BD, Chair signature within 1 BD, Board pack sent the same day</t>
  </si>
  <si>
    <t xml:space="preserve">Governance – IC module</t>
  </si>
  <si>
    <t xml:space="preserve">IC calendar, pack assembly with 7 BD clearance cut-off and 5 BD issue, pack lock and Chair-approved correction, quorum (3 incl. 1 Independent), recusals, deadlock counter, Decision Record and signature timers.</t>
  </si>
  <si>
    <t xml:space="preserve">INV-08</t>
  </si>
  <si>
    <t xml:space="preserve">Route each approval to the Board: No Objection on a 7 BD lapse, or Express Approval for Critical, Limit Breach (Red limit or allocation cap reached) or E&amp;S Category A. Parameter exceptions and related-party investments (after ARC review) go on No Objection. A director's objection triggers a meeting within 10 BD</t>
  </si>
  <si>
    <t xml:space="preserve">Approvals engine</t>
  </si>
  <si>
    <t xml:space="preserve">Board routing rules: No Objection with 7 BD lapse timer, Express Approval for Critical / Limit Breach / E&amp;S Cat A; objection stops clock and schedules meeting within 10 BD.</t>
  </si>
  <si>
    <t xml:space="preserve">INV-09</t>
  </si>
  <si>
    <t xml:space="preserve">Track approval lapse (at signing, at 6 months or on a material adverse effect) and warn 2 weeks before. Allow expedited re-approval on an Updated FIA Memo only within 3 months, with RCM confirmation that investee, instrument and E&amp;S category are unchanged, the rating is not High or Critical and no Red limit is reached</t>
  </si>
  <si>
    <t xml:space="preserve">Lapse tracking with 2-week warning; expedited re-approval gated by RCM confirmations and rating/limit checks.</t>
  </si>
  <si>
    <t xml:space="preserve">INV-10</t>
  </si>
  <si>
    <t xml:space="preserve">Apply the material change test and route changes to the IC, and to the Board where the amount or rating rises. Block a conversion above 25% of an investee until Board Express Approval</t>
  </si>
  <si>
    <t xml:space="preserve">FSA Investments app</t>
  </si>
  <si>
    <t xml:space="preserve">Material change test on Deal Data Sheet versions; routing to IC/Board; conversion &gt;25% blocked pending Board Express Approval.</t>
  </si>
  <si>
    <t xml:space="preserve">INV-11</t>
  </si>
  <si>
    <t xml:space="preserve">Support fund investments (fund DDQ, side letters, LPAC, MFN) and expedited follow-ons, which use the regular IC pack and deadlines</t>
  </si>
  <si>
    <t xml:space="preserve">FSA Investments app – Funds</t>
  </si>
  <si>
    <t xml:space="preserve">Fund DDQ template, side-letter and MFN tracker, LPAC records; follow-ons reuse the standard IC pack.</t>
  </si>
  <si>
    <t xml:space="preserve">INV-12</t>
  </si>
  <si>
    <t xml:space="preserve">Provide a secure data room for each deal, with NDA tracking</t>
  </si>
  <si>
    <t xml:space="preserve">Data room</t>
  </si>
  <si>
    <t xml:space="preserve">Per-deal restricted folders (Frappe File / Microsoft 365 SharePoint), NDA register with access gated on signed NDA.</t>
  </si>
  <si>
    <t xml:space="preserve">INV-13</t>
  </si>
  <si>
    <t xml:space="preserve">Hold the investee stage (operating, early-stage, brownfield and expansion, greenfield) and test each proposal against the instrument eligibility criteria for that stage, held as Board-set parameters</t>
  </si>
  <si>
    <t xml:space="preserve">Parameter schedule</t>
  </si>
  <si>
    <t xml:space="preserve">Investee stage field; eligibility matrix by stage held as Board-set parameters and tested on submission.</t>
  </si>
  <si>
    <t xml:space="preserve">INV-14</t>
  </si>
  <si>
    <t xml:space="preserve">Keep an exceptions register: parameter exceptions (IC, then Board No Objection), built-in allowances (flagged, not exceptions) and Board-only waivers of minimum fund terms</t>
  </si>
  <si>
    <t xml:space="preserve">Registers</t>
  </si>
  <si>
    <t xml:space="preserve">Exceptions register DocType with IC then Board No Objection workflow; allowances flagged separately; Board-only waiver path.</t>
  </si>
  <si>
    <t xml:space="preserve">INV-15</t>
  </si>
  <si>
    <t xml:space="preserve">Run the intermediate-jurisdiction tax check and tax due diligence for each deal and fund, signed by the Deal Manager and RCM. Block IC approval of a structure that fails the Cooperative Jurisdiction test, with no override</t>
  </si>
  <si>
    <t xml:space="preserve">Tax module</t>
  </si>
  <si>
    <t xml:space="preserve">Intermediate-jurisdiction tax checklist signed by Deal Manager and RCM; Cooperative Jurisdiction test as hard stop on IC approval, no override.</t>
  </si>
  <si>
    <t xml:space="preserve">INV-16</t>
  </si>
  <si>
    <t xml:space="preserve">Run the application portal so applicants can save and resume, with duplicate applications flagged, reminders at 7 and 14 days and incomplete applications closed at 30 days. Screen a whole call in bulk against the version of the eligibility criteria in force, keeping each version</t>
  </si>
  <si>
    <t xml:space="preserve">Save-and-resume applications, duplicate detection, 7/14-day reminders, auto-close at 30 days, bulk screening against versioned criteria.</t>
  </si>
  <si>
    <t xml:space="preserve">INV-17</t>
  </si>
  <si>
    <t xml:space="preserve">Generate a due diligence checklist for each deal type and instrument, and track every data-room request with its owner, due date and status</t>
  </si>
  <si>
    <t xml:space="preserve">DD checklist templates by deal type and instrument; data-room request tracker with owner, due date and status.</t>
  </si>
  <si>
    <t xml:space="preserve">INV-18</t>
  </si>
  <si>
    <t xml:space="preserve">Record site visits with notes and geo-tagged photos from a mobile device, and give external advisers and consultants deal-specific access that expires automatically</t>
  </si>
  <si>
    <t xml:space="preserve">Frappe mobile PWA</t>
  </si>
  <si>
    <t xml:space="preserve">Site-visit form usable on mobile with geo-tagged photo capture; time-boxed external adviser access.</t>
  </si>
  <si>
    <t xml:space="preserve">INV-19</t>
  </si>
  <si>
    <t xml:space="preserve">Hold a clause library of FSA's approved terms, flag any departure in a counterparty draft for review, support e-signature in a set signing order, and capture key terms (amounts, dates, conditions precedent, covenants) as data that feeds the loan register and covenant tracker</t>
  </si>
  <si>
    <t xml:space="preserve">Contracts + e-signature</t>
  </si>
  <si>
    <t xml:space="preserve">Clause library, comparison of counterparty drafts against approved clauses, e-signature via FSA's provider in set order; key terms captured as data feeding loan register and covenants.</t>
  </si>
  <si>
    <t xml:space="preserve">Y</t>
  </si>
  <si>
    <t xml:space="preserve">PFA-01</t>
  </si>
  <si>
    <t xml:space="preserve">Portfolio, loan and valuation</t>
  </si>
  <si>
    <t xml:space="preserve">Build the Disbursement Pack: counsel's written CP confirmation, RCM checks of limits and KYC, HFO liquidity; MD approves within 2 BD; HFO issues the payment instruction within 1 BD and ITL only executes it. Block if the sanctions, PEP and adverse-media screen is over 30 days old; Board approval is missing or documents were not signed within 6 months of it; an IC condition is neither met nor deferred; or the Deal Data Sheet version differs from the signed agreement</t>
  </si>
  <si>
    <t xml:space="preserve">Disbursement Pack</t>
  </si>
  <si>
    <t xml:space="preserve">Pack assembles CP confirmation, RCM limit/KYC checks, HFO liquidity; all hard stops (screen ≤30 days, Board approval current, 6-month signing, IC conditions, DDS version match) block MD approval.</t>
  </si>
  <si>
    <t xml:space="preserve">PFA-02</t>
  </si>
  <si>
    <t xml:space="preserve">Keep the loan and grant register: schedules, interest (reference rate plus margin, with a floor), fees and PIK. Calculate ≥20 days and send billing notices ≥15 days before the due date</t>
  </si>
  <si>
    <t xml:space="preserve">Loan &amp; grant register</t>
  </si>
  <si>
    <t xml:space="preserve">Facility schedules, reference rate + margin with floor, fees, PIK; billing calculated ≥20 days and notices ≥15 days before due date. Reuses the open-source Frappe Lending app for schedules and interest accrual.</t>
  </si>
  <si>
    <t xml:space="preserve">PFA-03</t>
  </si>
  <si>
    <t xml:space="preserve">Chase arrears: reminder within 1 BD, formal notice within 10 days. Reconcile the register monthly within 10 BD</t>
  </si>
  <si>
    <t xml:space="preserve">Arrears clocks (1 BD reminder, 10-day formal notice); monthly reconciliation task within 10 BD.</t>
  </si>
  <si>
    <t xml:space="preserve">PFA-04</t>
  </si>
  <si>
    <t xml:space="preserve">Track covenants, investee reporting (quarterly management accounts 45 days, or 30 days for the June and December quarters; equity reports 20 days monthly or 30 days quarterly; audited accounts 120 days; ESG 90 days), compliance certificates and annual tax confirmations</t>
  </si>
  <si>
    <t xml:space="preserve">Covenant &amp; reporting tracker</t>
  </si>
  <si>
    <t xml:space="preserve">Covenant and reporting obligations with due-date rules per report type; compliance certificates and annual tax confirmations.</t>
  </si>
  <si>
    <t xml:space="preserve">PFA-05</t>
  </si>
  <si>
    <t xml:space="preserve">Run a Quarterly Investment Review (QIR) for every investment and supervision visits. The MD approves the QIR; the IC approves the semi-annual valuations, notes the quarterly valuation reviews and approves any interim revaluation; the ARC reviews half-year and year-end valuations</t>
  </si>
  <si>
    <t xml:space="preserve">Portfolio monitoring</t>
  </si>
  <si>
    <t xml:space="preserve">QIR form per investment and supervision visits; approval chain MD → IC → ARC as configured.</t>
  </si>
  <si>
    <t xml:space="preserve">PFA-06</t>
  </si>
  <si>
    <t xml:space="preserve">Value holdings twice a year (30 June and 31 December) at fair value (IPEV), using ≥2 methods and explaining gaps over 20%; loans at amortised cost with IFRS 9 staging and ECL. At 31 March and 30 September, roll carrying values forward unless a Valuation Trigger Event requires an interim revaluation</t>
  </si>
  <si>
    <t xml:space="preserve">Valuation module</t>
  </si>
  <si>
    <t xml:space="preserve">Semi-annual fair value (IPEV) with ≥2 methods and &gt;20% gap explanation; amortised cost, IFRS 9 staging and ECL inputs; quarterly roll-forward unless trigger event.</t>
  </si>
  <si>
    <t xml:space="preserve">PFA-07</t>
  </si>
  <si>
    <t xml:space="preserve">Keep the security, shareholder rights, LP rights, nominee director and concessionality registers</t>
  </si>
  <si>
    <t xml:space="preserve">Security, shareholder rights, LP rights, nominee director and concessionality registers as linked DocTypes.</t>
  </si>
  <si>
    <t xml:space="preserve">PFA-08</t>
  </si>
  <si>
    <t xml:space="preserve">Classify waivers within 3 BD (routine: MD; material: IC) and reserved matters within 5 BD</t>
  </si>
  <si>
    <t xml:space="preserve">Waiver and reserved-matter classification with 3/5 BD timers and routing (MD routine, IC material).</t>
  </si>
  <si>
    <t xml:space="preserve">PFA-09</t>
  </si>
  <si>
    <t xml:space="preserve">Manage workouts (plan within 30 days), divestment plans, exit and closure reports, and security release within 30 days</t>
  </si>
  <si>
    <t xml:space="preserve">Workout plan (30 days), divestment plan, exit/closure reports, security release timer.</t>
  </si>
  <si>
    <t xml:space="preserve">PFA-10</t>
  </si>
  <si>
    <t xml:space="preserve">Price loans with FSA's loan pricing model (CRR, Affordability Rate, pricing floor, Grant Element) and keep the pricing record with the memo</t>
  </si>
  <si>
    <t xml:space="preserve">Loan pricing model</t>
  </si>
  <si>
    <t xml:space="preserve">FSA loan pricing model (CRR, Affordability Rate, floor, Grant Element) rebuilt from the Loan Pricing Workbook; pricing record attached to memo.</t>
  </si>
  <si>
    <t xml:space="preserve">PFA-11</t>
  </si>
  <si>
    <t xml:space="preserve">Handle fund capital calls (pay ≥2 BD before the due date, pack within 3 BD), checking no underlying investment is excluded or outside agri-food, and roll forward GP NAVs</t>
  </si>
  <si>
    <t xml:space="preserve">Funds module</t>
  </si>
  <si>
    <t xml:space="preserve">Capital call handling with payment ≥2 BD before due, pack within 3 BD, exclusion and agri-food checks; GP NAV roll-forward.</t>
  </si>
  <si>
    <t xml:space="preserve">PFA-12</t>
  </si>
  <si>
    <t xml:space="preserve">Run the valuation calendar: Valuation Dates, quarterly reviews, trigger-event log, IC approval timer, Semi-annual Valuation Report, independent valuer programme and back-testing of exits (differences over 10% explained)</t>
  </si>
  <si>
    <t xml:space="preserve">Valuation calendar, trigger-event log, IC approval timer, Semi-annual Valuation Report, valuer programme and exit back-testing.</t>
  </si>
  <si>
    <t xml:space="preserve">PFA-13</t>
  </si>
  <si>
    <t xml:space="preserve">Send investees and fund managers automatic reminders before each report is due and when it is missed, and give fund managers a standard reporting template</t>
  </si>
  <si>
    <t xml:space="preserve">Notifications + portal</t>
  </si>
  <si>
    <t xml:space="preserve">Automatic reminders before and after report due dates; standard fund-manager reporting template.</t>
  </si>
  <si>
    <t xml:space="preserve">PFA-14</t>
  </si>
  <si>
    <t xml:space="preserve">Check reported figures on upload and flag any movement beyond a set percentage from the prior period or the plan for the Deal Manager to explain</t>
  </si>
  <si>
    <t xml:space="preserve">Upload validation flags movements beyond a parameter % vs prior period or plan for Deal Manager explanation.</t>
  </si>
  <si>
    <t xml:space="preserve">PFA-15</t>
  </si>
  <si>
    <t xml:space="preserve">Show a health score for each investee, combining risk rating, arrears, covenant status, reporting timeliness and E&amp;S findings, with the weights held as settings</t>
  </si>
  <si>
    <t xml:space="preserve">Could</t>
  </si>
  <si>
    <t xml:space="preserve">Lot 3 – Later</t>
  </si>
  <si>
    <t xml:space="preserve">Dashboards</t>
  </si>
  <si>
    <t xml:space="preserve">Weighted investee health score (weights as settings) on a dashboard.</t>
  </si>
  <si>
    <t xml:space="preserve">PFA-16</t>
  </si>
  <si>
    <t xml:space="preserve">Hold an impact indicator library (food security, livelihoods, enterprise growth, resilience) tagged to the SDGs and Agenda 2063, and track each investment's results against its targets</t>
  </si>
  <si>
    <t xml:space="preserve">Impact module</t>
  </si>
  <si>
    <t xml:space="preserve">Impact indicator library tagged to SDGs and Agenda 2063; targets vs results per investment.</t>
  </si>
  <si>
    <t xml:space="preserve">RSK-01</t>
  </si>
  <si>
    <t xml:space="preserve">Risk, limits and early warning</t>
  </si>
  <si>
    <t xml:space="preserve">Score risk 1–25 (Low, Moderate, High, Critical) and rate investees 1–5, mapped to early-warning status and IFRS 9 stage</t>
  </si>
  <si>
    <t xml:space="preserve">Risk module</t>
  </si>
  <si>
    <t xml:space="preserve">Risk score 1–25 and investee rating 1–5 mapped to early-warning status and IFRS 9 stage via parameter tables.</t>
  </si>
  <si>
    <t xml:space="preserve">RSK-02</t>
  </si>
  <si>
    <t xml:space="preserve">Test each proposal against every limit in FSA's limit schedule before commitment and show the headroom. Measure on a committed basis, including undrawn amounts, by group and with fund look-through. Each allocation cap has an Amber early-warning trigger below the cap; reaching a cap is a Limit Breach</t>
  </si>
  <si>
    <t xml:space="preserve">Limit engine</t>
  </si>
  <si>
    <t xml:space="preserve">Single limit table; pre-commitment test on committed basis incl. undrawn, by group, with fund look-through; Amber triggers and Limit Breach at cap; headroom display.</t>
  </si>
  <si>
    <t xml:space="preserve">RSK-03</t>
  </si>
  <si>
    <t xml:space="preserve">Monitor limits monthly. Amber: to the MD within 2 BD. Red (Limit Breach): immediate notice, in writing within 2 BD, remediation plan within 10 BD, new exposure blocked</t>
  </si>
  <si>
    <t xml:space="preserve">Monthly limit run (scheduled job); Amber/Red notifications and remediation clocks; new exposure blocked on Red.</t>
  </si>
  <si>
    <t xml:space="preserve">RSK-04</t>
  </si>
  <si>
    <t xml:space="preserve">Run early warning from investee data. Amber: review within 10 BD. Red: IC and ARC Chair within 1 BD, plan within 30 days. Watch-list reviewed monthly</t>
  </si>
  <si>
    <t xml:space="preserve">Early warning</t>
  </si>
  <si>
    <t xml:space="preserve">Early-warning rules from investee data; Amber/Red escalation clocks; monthly watch-list review.</t>
  </si>
  <si>
    <t xml:space="preserve">RSK-05</t>
  </si>
  <si>
    <t xml:space="preserve">Keep the risk register, risk event register and actions tracker, and the exceptions and breach registers. Events are due within 2 BD; losses above a set threshold are escalated</t>
  </si>
  <si>
    <t xml:space="preserve">Risk register, risk event register, actions tracker, exceptions and breach registers; loss escalation threshold.</t>
  </si>
  <si>
    <t xml:space="preserve">RSK-06</t>
  </si>
  <si>
    <t xml:space="preserve">Calculate the KRIs and the monthly ALM and FX dashboards</t>
  </si>
  <si>
    <t xml:space="preserve">Risk dashboards</t>
  </si>
  <si>
    <t xml:space="preserve">KRI calculations and monthly ALM and FX dashboards in Frappe Insights.</t>
  </si>
  <si>
    <t xml:space="preserve">RSK-07</t>
  </si>
  <si>
    <t xml:space="preserve">Run stress tests from stored scenarios (portfolio quarterly; reverse stress annually)</t>
  </si>
  <si>
    <t xml:space="preserve">Stored stress scenarios applied to portfolio quarterly; annual reverse stress test.</t>
  </si>
  <si>
    <t xml:space="preserve">RSK-08</t>
  </si>
  <si>
    <t xml:space="preserve">Support the annual risk and control self-assessment, with control ratings and sampling</t>
  </si>
  <si>
    <t xml:space="preserve">RCSA campaigns with control ratings and sampling.</t>
  </si>
  <si>
    <t xml:space="preserve">CMP-01</t>
  </si>
  <si>
    <t xml:space="preserve">Compliance, KYC and integrity</t>
  </si>
  <si>
    <t xml:space="preserve">Hold KYC files for investees, sponsors, beneficial owners, suppliers and Consultants. The beneficial-owner threshold is a setting</t>
  </si>
  <si>
    <t xml:space="preserve">KYC module</t>
  </si>
  <si>
    <t xml:space="preserve">KYC party record for investees, sponsors, beneficial owners, suppliers and Consultants; BO threshold as parameter.</t>
  </si>
  <si>
    <t xml:space="preserve">CMP-02</t>
  </si>
  <si>
    <t xml:space="preserve">Screen against the UN list (mandatory) and other lists at onboarding, within 30 days before each disbursement and on any change</t>
  </si>
  <si>
    <t xml:space="preserve">Screening integration</t>
  </si>
  <si>
    <t xml:space="preserve">UN Consolidated List (mandatory) and other lists at onboarding, ≤30 days pre-disbursement and on change, via screening service API or CASS exchange.</t>
  </si>
  <si>
    <t xml:space="preserve">CMP-03</t>
  </si>
  <si>
    <t xml:space="preserve">Schedule KYC refreshes by risk rating</t>
  </si>
  <si>
    <t xml:space="preserve">Refresh schedule by KYC risk rating with timers.</t>
  </si>
  <si>
    <t xml:space="preserve">CMP-04</t>
  </si>
  <si>
    <t xml:space="preserve">Log suspicious-activity reports in confidence, with no tipping off. Track FIU decisions and the 24-hour sanctions report to the National Sanctions Secretariat</t>
  </si>
  <si>
    <t xml:space="preserve">Restricted registers</t>
  </si>
  <si>
    <t xml:space="preserve">Confidential SAR log with role-restricted access, FIU decision tracking and 24-hour sanctions-report clock.</t>
  </si>
  <si>
    <t xml:space="preserve">CMP-05</t>
  </si>
  <si>
    <t xml:space="preserve">Keep declarations of interest (on appointment, by 31 January, within 5 BD of a change, per deal, per meeting), recusals and the Restricted List</t>
  </si>
  <si>
    <t xml:space="preserve">Conflicts module</t>
  </si>
  <si>
    <t xml:space="preserve">Declarations of interest (appointment, annual 31 Jan, change, per deal, per meeting), recusals, Restricted List.</t>
  </si>
  <si>
    <t xml:space="preserve">CMP-06</t>
  </si>
  <si>
    <t xml:space="preserve">Keep the gifts register, with limits as settings and gifts blocked under Funder Capital contracts</t>
  </si>
  <si>
    <t xml:space="preserve">Gifts register with value bands as settings; blocked under Funder Capital contracts.</t>
  </si>
  <si>
    <t xml:space="preserve">CMP-07</t>
  </si>
  <si>
    <t xml:space="preserve">Run a confidential whistleblowing log: acknowledge within 3 BD, Champion within 5, terms within 10, updates every 30 days, close within 90 days</t>
  </si>
  <si>
    <t xml:space="preserve">Confidential whistleblowing log with 3/5/10/30/90-day clocks.</t>
  </si>
  <si>
    <t xml:space="preserve">CMP-08</t>
  </si>
  <si>
    <t xml:space="preserve">Track Code acknowledgements, annual certifications and mandatory training</t>
  </si>
  <si>
    <t xml:space="preserve">Compliance module</t>
  </si>
  <si>
    <t xml:space="preserve">Code acknowledgements, annual certifications and training tracker.</t>
  </si>
  <si>
    <t xml:space="preserve">CMP-09</t>
  </si>
  <si>
    <t xml:space="preserve">Keep the regulatory and funder calendar, including funder reports and allegation notices within 2 BD</t>
  </si>
  <si>
    <t xml:space="preserve">Compliance calendar</t>
  </si>
  <si>
    <t xml:space="preserve">Regulatory and funder calendar with 2 BD allegation notice clock.</t>
  </si>
  <si>
    <t xml:space="preserve">CMP-10</t>
  </si>
  <si>
    <t xml:space="preserve">Keep a restricted SEAH case register, visible only to the RCM, MD, Whistleblowing Champion and named investigators, with the person concerned locked out. Run the clocks: focal-point actions in 24 hours, ARC Chair in 1 BD, investee and AAF notices in 2 BD, acknowledgement in 3 BD, investigation target 90 days</t>
  </si>
  <si>
    <t xml:space="preserve">SEAH case register</t>
  </si>
  <si>
    <t xml:space="preserve">Row- and field-level restricted SEAH register; person concerned locked out; 24h/1/2/3 BD and 90-day clocks.</t>
  </si>
  <si>
    <t xml:space="preserve">CMP-11</t>
  </si>
  <si>
    <t xml:space="preserve">Hold SEAH undertakings, pre-appointment checks and training dates, and record SEAH due diligence, conditions and investee reporting for each deal and fund</t>
  </si>
  <si>
    <t xml:space="preserve">SEAH module</t>
  </si>
  <si>
    <t xml:space="preserve">SEAH undertakings, pre-appointment checks, training dates and deal/fund SEAH due diligence.</t>
  </si>
  <si>
    <t xml:space="preserve">CMP-12</t>
  </si>
  <si>
    <t xml:space="preserve">Keep the tax risk register and the status of each jurisdiction used. On a tax trigger event, notify the MD and ARC Chair within 2 BD; block follow-ons through a non-cooperative jurisdiction</t>
  </si>
  <si>
    <t xml:space="preserve">Tax risk register and jurisdiction status; trigger-event notices within 2 BD; follow-ons blocked through non-cooperative jurisdictions.</t>
  </si>
  <si>
    <t xml:space="preserve">CMP-13</t>
  </si>
  <si>
    <t xml:space="preserve">Keep an external grievance log for affected communities and workers (anonymous allowed), acknowledged within 10 BD and reported to the ARC at least twice a year</t>
  </si>
  <si>
    <t xml:space="preserve">External grievance form (anonymous allowed), 10 BD acknowledgement, semi-annual ARC report.</t>
  </si>
  <si>
    <t xml:space="preserve">FIN-01</t>
  </si>
  <si>
    <t xml:space="preserve">Finance, budget and treasury</t>
  </si>
  <si>
    <t xml:space="preserve">Run the budget calendar (call on 30 September, Board approval before 31 December), with monthly monitoring, a half-year reforecast and the interim 1/12 rule</t>
  </si>
  <si>
    <t xml:space="preserve">ERPNext Budget</t>
  </si>
  <si>
    <t xml:space="preserve">Budget calendar, monthly monitoring, half-year reforecast and interim 1/12 rule.</t>
  </si>
  <si>
    <t xml:space="preserve">FIN-02</t>
  </si>
  <si>
    <t xml:space="preserve">Control reallocations within the MD's delegated limit, with Board approval above it and the funder's margin applied to funder lines; change log within 2 BD</t>
  </si>
  <si>
    <t xml:space="preserve">ERPNext Budget + workflow</t>
  </si>
  <si>
    <t xml:space="preserve">Reallocation workflow within MD limit, Board above; funder margin applied on funder lines; change log.</t>
  </si>
  <si>
    <t xml:space="preserve">FIN-03</t>
  </si>
  <si>
    <t xml:space="preserve">Keep restricted-fund ledgers by funder, tranche and budget line, with an eligibility check before each Good to Pay</t>
  </si>
  <si>
    <t xml:space="preserve">Restricted-fund ledger</t>
  </si>
  <si>
    <t xml:space="preserve">Funder / tranche / budget-line dimensions with eligibility check before Good to Pay.</t>
  </si>
  <si>
    <t xml:space="preserve">FIN-04</t>
  </si>
  <si>
    <t xml:space="preserve">Run the close: bank reconciliations by BD5, HFO review by BD7, management accounts by BD10, MD approval by BD12. Produce the quarterly NAV within 45 days on carrying values; at 30 June and 31 December restate it within 10 BD of the MD approving the valuations; reflect any IC change in the next NAV</t>
  </si>
  <si>
    <t xml:space="preserve">Close calendar</t>
  </si>
  <si>
    <t xml:space="preserve">Close checklist (BD5/7/10/12) with timers; quarterly NAV pack from carrying values and semi-annual restatement.</t>
  </si>
  <si>
    <t xml:space="preserve">FIN-05</t>
  </si>
  <si>
    <t xml:space="preserve">Forecast cash (13-week, 12-month, 5-year). Before each commitment, test the liquidity coverage ratio and the asset test against Board limits</t>
  </si>
  <si>
    <t xml:space="preserve">Treasury &amp; liquidity</t>
  </si>
  <si>
    <t xml:space="preserve">13-week, 12-month and 5-year cash forecasts; liquidity coverage ratio and asset test before each commitment.</t>
  </si>
  <si>
    <t xml:space="preserve">FIN-06</t>
  </si>
  <si>
    <t xml:space="preserve">Track surplus cash in permitted investments against counterparty limits, within the operating balance limit</t>
  </si>
  <si>
    <t xml:space="preserve">Treasury</t>
  </si>
  <si>
    <t xml:space="preserve">Permitted investments register with counterparty limits and operating balance limit.</t>
  </si>
  <si>
    <t xml:space="preserve">FIN-07</t>
  </si>
  <si>
    <t xml:space="preserve">Record FX conversions, with two quotes above a set threshold. Convert local-currency receipts within 10 BD</t>
  </si>
  <si>
    <t xml:space="preserve">FX conversion records, two quotes above threshold, 10 BD local-currency conversion clock.</t>
  </si>
  <si>
    <t xml:space="preserve">FIN-08</t>
  </si>
  <si>
    <t xml:space="preserve">Keep the fixed-asset register and the bank account and signatory register</t>
  </si>
  <si>
    <t xml:space="preserve">Standard</t>
  </si>
  <si>
    <t xml:space="preserve">ERPNext Assets</t>
  </si>
  <si>
    <t xml:space="preserve">Fixed-asset register (ERPNext Assets) and bank account / signatory register.</t>
  </si>
  <si>
    <t xml:space="preserve">FIN-09</t>
  </si>
  <si>
    <t xml:space="preserve">Produce funder reports through AAF (pre-tranche 45 days before release; annual within 45 days of year end)</t>
  </si>
  <si>
    <t xml:space="preserve">Reporting</t>
  </si>
  <si>
    <t xml:space="preserve">Funder report templates (pre-tranche, annual) via AAF with timers.</t>
  </si>
  <si>
    <t xml:space="preserve">FIN-10</t>
  </si>
  <si>
    <t xml:space="preserve">Keep the tax file and calendar: returns prepared by ITL, reviewed by the HFO and approved by the MD; Tax Residence Certificate and substance evidence; FATCA and CRS filings; withholding tax and treaty relief recorded before each closing</t>
  </si>
  <si>
    <t xml:space="preserve">Tax file and calendar, TRC and substance evidence, FATCA/CRS tracking, withholding tax and treaty relief before closing.</t>
  </si>
  <si>
    <t xml:space="preserve">PRC-01</t>
  </si>
  <si>
    <t xml:space="preserve">Procurement and payables</t>
  </si>
  <si>
    <t xml:space="preserve">Raise requisitions against budget and set the method by value: RfQ up to US$25,000 (3 quotes); Competitive Tender up to US$150,000; Open Tender above that (21 BD, 90-day bid validity, 7-day standstill)</t>
  </si>
  <si>
    <t xml:space="preserve">ERPNext Buying</t>
  </si>
  <si>
    <t xml:space="preserve">Material Request against budget; method set by value thresholds (RfQ/Competitive/Open Tender) with tender timers.</t>
  </si>
  <si>
    <t xml:space="preserve">PRC-02</t>
  </si>
  <si>
    <t xml:space="preserve">Add up 12 months of purchases from each supplier to stop contract splitting; require a reason for single sourcing</t>
  </si>
  <si>
    <t xml:space="preserve">Rolling 12-month supplier aggregation check; single-source justification mandatory.</t>
  </si>
  <si>
    <t xml:space="preserve">PRC-03</t>
  </si>
  <si>
    <t xml:space="preserve">Run evaluations with conflict declarations before bids are opened, scoring grids fixed at publication, and minutes</t>
  </si>
  <si>
    <t xml:space="preserve">Evaluation with conflict declarations before opening, locked scoring grid and minutes.</t>
  </si>
  <si>
    <t xml:space="preserve">PRC-04</t>
  </si>
  <si>
    <t xml:space="preserve">Onboard suppliers with due diligence tiered by value, and periodic refresh</t>
  </si>
  <si>
    <t xml:space="preserve">ERPNext Supplier</t>
  </si>
  <si>
    <t xml:space="preserve">Supplier onboarding with tiered due diligence and refresh dates.</t>
  </si>
  <si>
    <t xml:space="preserve">PRC-05</t>
  </si>
  <si>
    <t xml:space="preserve">Manage contracts: variations, renewals (never automatic), annual supplier reviews, and complaints on timers</t>
  </si>
  <si>
    <t xml:space="preserve">Contract management</t>
  </si>
  <si>
    <t xml:space="preserve">Contract variations, renewals (never automatic), annual reviews and complaint timers.</t>
  </si>
  <si>
    <t xml:space="preserve">PRC-06</t>
  </si>
  <si>
    <t xml:space="preserve">Match order, receipt (3 BD) and invoice (3 BD) before Good to Pay</t>
  </si>
  <si>
    <t xml:space="preserve">Three-way match (PO, receipt within 3 BD, invoice within 3 BD) before Good to Pay.</t>
  </si>
  <si>
    <t xml:space="preserve">PRC-07</t>
  </si>
  <si>
    <t xml:space="preserve">Release payments only with Panel A and Panel B, adding a third signatory above a set threshold. Call back on any new or changed bank details. Payments to the MD need a separate approver</t>
  </si>
  <si>
    <t xml:space="preserve">Payment release</t>
  </si>
  <si>
    <t xml:space="preserve">Panel A + Panel B release, third signatory above threshold, call-back on bank detail change, no self-release, separate approver for MD payments.</t>
  </si>
  <si>
    <t xml:space="preserve">PRC-08</t>
  </si>
  <si>
    <t xml:space="preserve">Send payment instructions to ITL and MCB and receive confirmations. No cash</t>
  </si>
  <si>
    <t xml:space="preserve">ITL / MCB integration</t>
  </si>
  <si>
    <t xml:space="preserve">Payment instruction files to ITL and MCB; confirmation import. (Integration effort costed separately.)</t>
  </si>
  <si>
    <t xml:space="preserve">TRV-01</t>
  </si>
  <si>
    <t xml:space="preserve">Travel and missions</t>
  </si>
  <si>
    <t xml:space="preserve">Raise Mission Requests at least 7 BD ahead (12 BD for High-risk), with an HFO budget check, an RCM risk level and approval by traveller and risk</t>
  </si>
  <si>
    <t xml:space="preserve">Travel module</t>
  </si>
  <si>
    <t xml:space="preserve">Mission Request with 7/12 BD lead time, HFO budget check, RCM risk level and approval matrix.</t>
  </si>
  <si>
    <t xml:space="preserve">TRV-02</t>
  </si>
  <si>
    <t xml:space="preserve">Calculate DSA from ICSC rates, with reductions. Pay advances at least 3 BD before departure; block a new advance while one is unsettled</t>
  </si>
  <si>
    <t xml:space="preserve">DSA calculation from ICSC rates with reductions; advance timing and block on unsettled advance. Reuses Frappe HR travel request, advance and expense claim.</t>
  </si>
  <si>
    <t xml:space="preserve">TRV-03</t>
  </si>
  <si>
    <t xml:space="preserve">Settle claims and advances within 10 BD of return, with the back-to-office report (BTOR) within 5 BD. Recover unsettled advances from fees after 30 days</t>
  </si>
  <si>
    <t xml:space="preserve">Claim settlement 10 BD, BTOR 5 BD, recovery from fees after 30 days.</t>
  </si>
  <si>
    <t xml:space="preserve">TRV-04</t>
  </si>
  <si>
    <t xml:space="preserve">Keep a travel tracker with daily check-ins for High-risk trips and incident reports within 24 hours</t>
  </si>
  <si>
    <t xml:space="preserve">Travel tracker with daily check-ins and 24h incident reports.</t>
  </si>
  <si>
    <t xml:space="preserve">TRV-05</t>
  </si>
  <si>
    <t xml:space="preserve">Confirm insurance cover and HEAT training before High-risk travel. Produce the annual travel and carbon report</t>
  </si>
  <si>
    <t xml:space="preserve">Insurance and HEAT training check before High-risk travel; annual travel and carbon report.</t>
  </si>
  <si>
    <t xml:space="preserve">CON-01</t>
  </si>
  <si>
    <t xml:space="preserve">Consultants</t>
  </si>
  <si>
    <t xml:space="preserve">Run engagement: positions register, adverts (≥14 days), panel scoring, pre-engagement checks, contract issue with a copy to ITL</t>
  </si>
  <si>
    <t xml:space="preserve">Consultants module</t>
  </si>
  <si>
    <t xml:space="preserve">Positions register, adverts ≥14 days, panel scoring, pre-engagement checks, contract issue copied to ITL.</t>
  </si>
  <si>
    <t xml:space="preserve">CON-02</t>
  </si>
  <si>
    <t xml:space="preserve">Track onboarding: objectives within 30 days, a 3-month review, and renewal reminders 60 and 30 days before expiry</t>
  </si>
  <si>
    <t xml:space="preserve">Onboarding objectives (30 days), 3-month review, renewal reminders at 60/30 days.</t>
  </si>
  <si>
    <t xml:space="preserve">CON-03</t>
  </si>
  <si>
    <t xml:space="preserve">Take monthly invoices with timesheets or deliverables. The Supervisor certifies within 5 BD and ITL pays within 10 BD. Track non-service days. Hold any performance-related fee the Board withholds or recovers (malus and clawback)</t>
  </si>
  <si>
    <t xml:space="preserve">Monthly invoices with timesheets/deliverables, Supervisor certification 5 BD, ITL payment 10 BD, non-service days, malus/clawback holds. Reuses Frappe HR timesheets and advances.</t>
  </si>
  <si>
    <t xml:space="preserve">CON-04</t>
  </si>
  <si>
    <t xml:space="preserve">Hold mid-year and year-end performance reviews and improvement plans</t>
  </si>
  <si>
    <t xml:space="preserve">Mid-year and year-end reviews and improvement plans.</t>
  </si>
  <si>
    <t xml:space="preserve">CON-05</t>
  </si>
  <si>
    <t xml:space="preserve">Offboard: revoke access and signing authorities on the last day, reconcile advances, final invoice within 30 days</t>
  </si>
  <si>
    <t xml:space="preserve">Offboarding: access and signing authorities revoked on last day, advances reconciled, final invoice timer.</t>
  </si>
  <si>
    <t xml:space="preserve">GOV-01</t>
  </si>
  <si>
    <t xml:space="preserve">Governance, Board and audit</t>
  </si>
  <si>
    <t xml:space="preserve">Provide a Board and committee portal: calendar, minutes and action logs; papers 7 days ahead for the Board, the IC pack 5 BD ahead, 5 BD for the ARC; quorum checks (the Board needs 1 independent and 1 resident director)</t>
  </si>
  <si>
    <t xml:space="preserve">Board portal</t>
  </si>
  <si>
    <t xml:space="preserve">Board and committee portal: calendar, minutes, action logs, paper deadlines and quorum checks (independent and resident director).</t>
  </si>
  <si>
    <t xml:space="preserve">GOV-02</t>
  </si>
  <si>
    <t xml:space="preserve">Run written resolutions and No Objection votes, with Company Secretary certification</t>
  </si>
  <si>
    <t xml:space="preserve">Written resolutions and No Objection voting with Company Secretary certification.</t>
  </si>
  <si>
    <t xml:space="preserve">GOV-03</t>
  </si>
  <si>
    <t xml:space="preserve">Activate an acting MD after 5 BD of absence, with limited powers (no transaction agreements), and record Board ratification</t>
  </si>
  <si>
    <t xml:space="preserve">Acting MD activation after 5 BD absence with restricted authority codes and Board ratification record.</t>
  </si>
  <si>
    <t xml:space="preserve">GOV-04</t>
  </si>
  <si>
    <t xml:space="preserve">Keep the policy register, with review dates and version control, including the SEAH and Tax Policies</t>
  </si>
  <si>
    <t xml:space="preserve">Policy register</t>
  </si>
  <si>
    <t xml:space="preserve">Policy register with review dates and version control.</t>
  </si>
  <si>
    <t xml:space="preserve">GOV-05</t>
  </si>
  <si>
    <t xml:space="preserve">Track internal audit findings against remediation clocks (Critical 30 days, High 90, Medium 180, Low 12 months), with the risk-acceptance ladder</t>
  </si>
  <si>
    <t xml:space="preserve">Audit module</t>
  </si>
  <si>
    <t xml:space="preserve">Internal audit findings with remediation clocks and risk-acceptance ladder.</t>
  </si>
  <si>
    <t xml:space="preserve">GOV-06</t>
  </si>
  <si>
    <t xml:space="preserve">Keep the key-person and succession registers</t>
  </si>
  <si>
    <t xml:space="preserve">Key-person and succession registers.</t>
  </si>
  <si>
    <t xml:space="preserve">GOV-07</t>
  </si>
  <si>
    <t xml:space="preserve">Keep the IC membership register: composition, terms, the 9-year limit for Independents, the 90-day vacancy clock, attendance and the annual self-assessment</t>
  </si>
  <si>
    <t xml:space="preserve">IC membership register with terms, 9-year limit, 90-day vacancy clock, attendance and self-assessment.</t>
  </si>
  <si>
    <t xml:space="preserve">Total</t>
  </si>
  <si>
    <t xml:space="preserve">Summary</t>
  </si>
  <si>
    <t xml:space="preserve">Build effort</t>
  </si>
  <si>
    <t xml:space="preserve">Cross-cutting build work</t>
  </si>
  <si>
    <t xml:space="preserve">Developer and functional-consultant work not tied to one requirement. Testing, training, PM and go-live are staffed in the Staffing Plan.</t>
  </si>
  <si>
    <t xml:space="preserve">Lot</t>
  </si>
  <si>
    <t xml:space="preserve">Work package</t>
  </si>
  <si>
    <t xml:space="preserve">EBRD reference</t>
  </si>
  <si>
    <t xml:space="preserve">Build person-days</t>
  </si>
  <si>
    <t xml:space="preserve">Notes</t>
  </si>
  <si>
    <t xml:space="preserve">Platform core: parameter schedule, approvals engine, segregation of duties, audit trail</t>
  </si>
  <si>
    <t xml:space="preserve">Principles 2–5, 8</t>
  </si>
  <si>
    <t xml:space="preserve">One limit table, versioned parameters, authority codes</t>
  </si>
  <si>
    <t xml:space="preserve">Roles and permissions (Appendix B), SEAH record-level restrictions</t>
  </si>
  <si>
    <t xml:space="preserve">App. B</t>
  </si>
  <si>
    <t xml:space="preserve">Integration – ITL</t>
  </si>
  <si>
    <t xml:space="preserve">7.2</t>
  </si>
  <si>
    <t xml:space="preserve">API or SFTP, format agreed with ITL</t>
  </si>
  <si>
    <t xml:space="preserve">Integration – MCB</t>
  </si>
  <si>
    <t xml:space="preserve">camt.053/MT940 in, payment file out; upload fallback</t>
  </si>
  <si>
    <t xml:space="preserve">Integration – CASS</t>
  </si>
  <si>
    <t xml:space="preserve">CASS role in system plus file exchange</t>
  </si>
  <si>
    <t xml:space="preserve">Integration – screening service (UN list feed, rescreening)</t>
  </si>
  <si>
    <t xml:space="preserve">Integration – Microsoft 365 (SSO, email, calendar, SharePoint)</t>
  </si>
  <si>
    <t xml:space="preserve">Frappe native SSO</t>
  </si>
  <si>
    <t xml:space="preserve">Core reports and dashboards (7.1) with drill-down and PDF/Excel/PowerPoint export</t>
  </si>
  <si>
    <t xml:space="preserve">7.1</t>
  </si>
  <si>
    <t xml:space="preserve">Frappe Insights + developed .pptx export</t>
  </si>
  <si>
    <t xml:space="preserve">Configuration from Board-approved policies (Appendix D set-up)</t>
  </si>
  <si>
    <t xml:space="preserve">App. D</t>
  </si>
  <si>
    <t xml:space="preserve">FSA loads its own starting records</t>
  </si>
  <si>
    <t xml:space="preserve">FSA document templates (ISN, memos, Decision Records, Pack, QIR)</t>
  </si>
  <si>
    <t xml:space="preserve">Integrations – market data, AAF pack, e-signature, BI API</t>
  </si>
  <si>
    <t xml:space="preserve">Release 2 reports</t>
  </si>
  <si>
    <t xml:space="preserve">Investee and GP upload portal</t>
  </si>
  <si>
    <t xml:space="preserve">Staffing plan – who works on what, when</t>
  </si>
  <si>
    <t xml:space="preserve">Person-days = working days in phase × allocation. Cost = person-days × role day rate. Allocations are inputs.</t>
  </si>
  <si>
    <t xml:space="preserve">Phase</t>
  </si>
  <si>
    <t xml:space="preserve">Start</t>
  </si>
  <si>
    <t xml:space="preserve">End</t>
  </si>
  <si>
    <t xml:space="preserve">Working days</t>
  </si>
  <si>
    <t xml:space="preserve">Role code</t>
  </si>
  <si>
    <t xml:space="preserve">Allocation</t>
  </si>
  <si>
    <t xml:space="preserve">Person-days</t>
  </si>
  <si>
    <t xml:space="preserve">Cost (US$)</t>
  </si>
  <si>
    <t xml:space="preserve">What they do</t>
  </si>
  <si>
    <t xml:space="preserve">Lot 1</t>
  </si>
  <si>
    <t xml:space="preserve">Mobilisation and design</t>
  </si>
  <si>
    <t xml:space="preserve">Runs the kick-off with the MD and signs off the design at the end of the week.</t>
  </si>
  <si>
    <t xml:space="preserve">Validates the EBRD's Appendices A to D with each FSA owner in five days of short workshops; issues the parameter schedule, Delegation of Authority matrix and role matrix for sign-off, with any open values logged and closed in sprint 1.</t>
  </si>
  <si>
    <t xml:space="preserve">Installs Frappe/ERPNext and the FSA app skeleton; confirms the shared-core model (parameter schedule, approvals engine, audit trail).</t>
  </si>
  <si>
    <t xml:space="preserve">Agrees file formats with ITL, MCB and CASS.</t>
  </si>
  <si>
    <t xml:space="preserve">Deploys the test, UAT and live environments from templates and connects single sign-on and MFA.</t>
  </si>
  <si>
    <t xml:space="preserve">Configuration and build sprints</t>
  </si>
  <si>
    <t xml:space="preserve">Plans each two-week sprint and runs the demo to FSA; design authority and code review of every hard stop; fortnightly steering committee.</t>
  </si>
  <si>
    <t xml:space="preserve">Configures the no-code items (forms, workflows, notifications, clocks) from the signed design; loads the parameter schedule; builds FSA's memo templates with DEV3; writes the UAT scripts.</t>
  </si>
  <si>
    <t xml:space="preserve">Builds the platform core, limit engine (RSK-02/03), IC and Board engine (INV-07/08), Disbursement Pack hard stops (PFA-01) and segregation of duties.</t>
  </si>
  <si>
    <t xml:space="preserve">Builds the loan and grant register (PFA-02/03), valuation and IFRS 9 (PFA-06/12), restricted funds and liquidity tests (FIN-03/05), payment release (PRC-07) and the ITL and MCB links (PRC-08).</t>
  </si>
  <si>
    <t xml:space="preserve">Builds the pipeline and screening (INV-01 to 03, 05, 06, 09, 10, 13, 14), tax checks (INV-15, CMP-12), integrity registers (CMP-04 to 07, 09), the restricted SEAH register (CMP-10) and the Board portal (GOV-01 to 03).</t>
  </si>
  <si>
    <t xml:space="preserve">Builds KYC and screening with the CASS link (CMP-01 to 03), procurement (PRC-01, 02, 04, 06), travel (TRV-01 to 03), Consultants (CON-02, 03, 05), budget, close and tax calendar (FIN-01, 02, 04, 09, 10).</t>
  </si>
  <si>
    <t xml:space="preserve">Builds document generation from the Deal Data Sheet (INV-04), the core reports and dashboards with PDF, Excel and PowerPoint export, covenants and investee reporting (PFA-04, 13), QIR (PFA-05), registers (PFA-07, 08) and early warning (RSK-01, 04, 05).</t>
  </si>
  <si>
    <t xml:space="preserve">Writes a functional and a negative test for each Must requirement, tests every sprint, automates regression tests on the calculations.</t>
  </si>
  <si>
    <t xml:space="preserve">Sets up deployment pipeline, security hardening, monitoring and backups to the second provider.</t>
  </si>
  <si>
    <t xml:space="preserve">System and integration test</t>
  </si>
  <si>
    <t xml:space="preserve">Reviews test results and decides with FSA whether UAT can start.</t>
  </si>
  <si>
    <t xml:space="preserve">Checks results against FSA's policies; prepares UAT data and training material.</t>
  </si>
  <si>
    <t xml:space="preserve">Fixes defects on the core, limits and IC/Board engine.</t>
  </si>
  <si>
    <t xml:space="preserve">Fixes defects on finance; runs integration tests with ITL and MCB test environments.</t>
  </si>
  <si>
    <t xml:space="preserve">Fixes defects on governance and compliance.</t>
  </si>
  <si>
    <t xml:space="preserve">Fixes defects; runs the CASS and screening integration tests.</t>
  </si>
  <si>
    <t xml:space="preserve">Fixes report and template defects.</t>
  </si>
  <si>
    <t xml:space="preserve">Runs all functional and negative tests, the 24 Appendix F tests and the load test.</t>
  </si>
  <si>
    <t xml:space="preserve">Supports the independent penetration test; runs the first restore test (AT-17).</t>
  </si>
  <si>
    <t xml:space="preserve">UAT, acceptance and training</t>
  </si>
  <si>
    <t xml:space="preserve">Chairs UAT progress meetings; agrees go-live readiness with the MD against Appendix E.</t>
  </si>
  <si>
    <t xml:space="preserve">Leads UAT with FSA users; delivers role-based training, the Board/IC/ARC portal session and train-the-trainer; finalises EN/FR guides.</t>
  </si>
  <si>
    <t xml:space="preserve">Fixes UAT defects on controls.</t>
  </si>
  <si>
    <t xml:space="preserve">Fixes UAT defects on finance; supports reconciliation of FSA's starting data (Appendix D).</t>
  </si>
  <si>
    <t xml:space="preserve">Fixes UAT defects.</t>
  </si>
  <si>
    <t xml:space="preserve">Runs the Appendix F tests witnessed by FSA and compiles the signed evidence pack.</t>
  </si>
  <si>
    <t xml:space="preserve">Prepares production, runs the restore test, completes the security checklist.</t>
  </si>
  <si>
    <t xml:space="preserve">Go-live and hypercare</t>
  </si>
  <si>
    <t xml:space="preserve">Takes the go-live decision with the MD; hands over to support with named contacts.</t>
  </si>
  <si>
    <t xml:space="preserve">Supports users day to day for two weeks; answers process questions.</t>
  </si>
  <si>
    <t xml:space="preserve">Fixes any live issue; watches the first live disbursement and payment cycle.</t>
  </si>
  <si>
    <t xml:space="preserve">Fixes any live issue.</t>
  </si>
  <si>
    <t xml:space="preserve">Regression-tests every fix.</t>
  </si>
  <si>
    <t xml:space="preserve">Cut-over, end-to-end test payment through ITL and MCB, monitoring.</t>
  </si>
  <si>
    <t xml:space="preserve">Lot 2</t>
  </si>
  <si>
    <t xml:space="preserve">Plans Release 2 and holds the steering committee.</t>
  </si>
  <si>
    <t xml:space="preserve">Validates the 27 Should items with FSA owners in one week, building on Release 1, and updates the design.</t>
  </si>
  <si>
    <t xml:space="preserve">Designs the pricing model, fund features and market-data and e-signature links.</t>
  </si>
  <si>
    <t xml:space="preserve">Sprint demos and design authority.</t>
  </si>
  <si>
    <t xml:space="preserve">Configures no-code items and writes UAT scripts.</t>
  </si>
  <si>
    <t xml:space="preserve">Builds the loan pricing model (PFA-10), capital calls and GP NAV (PFA-11), KRIs, ALM and FX dashboards (RSK-06), upload checks (PFA-14), market data, AAF, e-signature and BI links.</t>
  </si>
  <si>
    <t xml:space="preserve">Builds the open-call portal (INV-02, 16), fund features (INV-11), data room and DD checklists (INV-12, 17), site visits (INV-18), clause library (INV-19), workouts and impact (PFA-09, 16), SEAH, grievance and training (CMP-08, 11, 13), policy, audit and IC registers (GOV-04, 05, 07).</t>
  </si>
  <si>
    <t xml:space="preserve">Builds evaluations and contract management (PRC-03, 05), treasury, FX and asset registers (FIN-06 to 08), Consultant engagement and performance (CON-01, 04), travel tracker (TRV-04).</t>
  </si>
  <si>
    <t xml:space="preserve">Tests every Should requirement and runs regression on Release 1.</t>
  </si>
  <si>
    <t xml:space="preserve">Exposes the BI API and deploys the integrations.</t>
  </si>
  <si>
    <t xml:space="preserve">Test status and UAT go/no-go.</t>
  </si>
  <si>
    <t xml:space="preserve">Prepares UAT data.</t>
  </si>
  <si>
    <t xml:space="preserve">Fixes defects; integration tests.</t>
  </si>
  <si>
    <t xml:space="preserve">Fixes defects.</t>
  </si>
  <si>
    <t xml:space="preserve">Fixes defects on procurement, treasury and Consultant features.</t>
  </si>
  <si>
    <t xml:space="preserve">Runs all Release 2 tests and Release 1 regression.</t>
  </si>
  <si>
    <t xml:space="preserve">Load check after Release 2.</t>
  </si>
  <si>
    <t xml:space="preserve">UAT meetings and readiness.</t>
  </si>
  <si>
    <t xml:space="preserve">Leads UAT and training on Release 2.</t>
  </si>
  <si>
    <t xml:space="preserve">Compiles UAT evidence.</t>
  </si>
  <si>
    <t xml:space="preserve">Go-live decision and handover.</t>
  </si>
  <si>
    <t xml:space="preserve">User support for one week.</t>
  </si>
  <si>
    <t xml:space="preserve">Deployment and monitoring.</t>
  </si>
  <si>
    <t xml:space="preserve">Lot 3</t>
  </si>
  <si>
    <t xml:space="preserve">Plans Lot 3.</t>
  </si>
  <si>
    <t xml:space="preserve">Workshops on the Could items.</t>
  </si>
  <si>
    <t xml:space="preserve">Sprint demo.</t>
  </si>
  <si>
    <t xml:space="preserve">Configures registers and writes UAT scripts.</t>
  </si>
  <si>
    <t xml:space="preserve">Builds the stress-test engine with DEV1 and reviews code.</t>
  </si>
  <si>
    <t xml:space="preserve">Builds the health score (PFA-15), stress tests (RSK-07), RCSA (RSK-08), travel insurance and carbon report (TRV-05), succession registers (GOV-06) and the investee/GP upload portal.</t>
  </si>
  <si>
    <t xml:space="preserve">Tests each Could requirement.</t>
  </si>
  <si>
    <t xml:space="preserve">Runs all Lot 3 tests and regression.</t>
  </si>
  <si>
    <t xml:space="preserve">Leads UAT and training.</t>
  </si>
  <si>
    <t xml:space="preserve">Sprint plan – cost of every iteration</t>
  </si>
  <si>
    <t xml:space="preserve">Each lot: design week, two-week build sprints, system test, UAT, go-live. Role days = working days × the phase allocation in the Staffing Plan; cost = days × day rate. Scope per sprint is indicative and confirmed in the design week.</t>
  </si>
  <si>
    <t xml:space="preserve">Iteration</t>
  </si>
  <si>
    <t xml:space="preserve">Sprint goal</t>
  </si>
  <si>
    <t xml:space="preserve">Scope (requirements and work packages)</t>
  </si>
  <si>
    <t xml:space="preserve">Build work planned (p-d)</t>
  </si>
  <si>
    <t xml:space="preserve">Build capacity (p-d)</t>
  </si>
  <si>
    <t xml:space="preserve">Load</t>
  </si>
  <si>
    <t xml:space="preserve">Design week</t>
  </si>
  <si>
    <t xml:space="preserve">Design</t>
  </si>
  <si>
    <t xml:space="preserve">Validate Appendices A–D with each owner; configuration workshops; backlog signed off</t>
  </si>
  <si>
    <t xml:space="preserve">Configuration from policies (8 p-d)</t>
  </si>
  <si>
    <t xml:space="preserve">Sprint 1</t>
  </si>
  <si>
    <t xml:space="preserve">Build sprint</t>
  </si>
  <si>
    <t xml:space="preserve">Platform core: parameter schedule, approvals engine, roles, SSO and MFA, lead log</t>
  </si>
  <si>
    <t xml:space="preserve">Platform core (30 p-d), Roles and permissions (6 p-d), Microsoft 365 SSO (4 p-d), INV-01, INV-05, INV-13, INV-14, RSK-01, GOV-03, CMP-06</t>
  </si>
  <si>
    <t xml:space="preserve">Sprint 2</t>
  </si>
  <si>
    <t xml:space="preserve">Deal pipeline: screening, Deal Data Sheet, KYC files, CASS and UN screening feed</t>
  </si>
  <si>
    <t xml:space="preserve">INV-03, INV-04, INV-06, INV-09, INV-10, INV-15, CMP-01, CMP-03, CASS integration (5 p-d), Screening feed (5 p-d), CON-02</t>
  </si>
  <si>
    <t xml:space="preserve">Sprint 3</t>
  </si>
  <si>
    <t xml:space="preserve">IC and Board engine: IC calendar and packs, No Objection, declarations (short sprint: year-end days off)</t>
  </si>
  <si>
    <t xml:space="preserve">INV-07, INV-08, GOV-02, CMP-05, CON-05, TRV-03</t>
  </si>
  <si>
    <t xml:space="preserve">Sprint 4</t>
  </si>
  <si>
    <t xml:space="preserve">Limits, risk and compliance: limit engine, early warning, screening, SEAH and tax registers</t>
  </si>
  <si>
    <t xml:space="preserve">RSK-02, RSK-03, RSK-04, RSK-05, CMP-02, CMP-04, CMP-07, CMP-09, CMP-10, CMP-12, PFA-07, PFA-08, TRV-01</t>
  </si>
  <si>
    <t xml:space="preserve">Sprint 5</t>
  </si>
  <si>
    <t xml:space="preserve">Disbursement and payments: Disbursement Pack, Panel A + B release, ITL and MCB, procurement</t>
  </si>
  <si>
    <t xml:space="preserve">PFA-01, PRC-07, PRC-08, ITL integration (8 p-d), MCB integration (10 p-d), FIN-04, PRC-01, PRC-02, PRC-04, PRC-06, FIN-02, FIN-10</t>
  </si>
  <si>
    <t xml:space="preserve">Sprint 6</t>
  </si>
  <si>
    <t xml:space="preserve">Loans and valuation: loan and grant register, arrears, covenants, QIR, valuation, funds ledgers</t>
  </si>
  <si>
    <t xml:space="preserve">PFA-02, PFA-03, PFA-04, PFA-05, PFA-06, PFA-12, PFA-13, FIN-03, FIN-01, TRV-02</t>
  </si>
  <si>
    <t xml:space="preserve">Sprint 7</t>
  </si>
  <si>
    <t xml:space="preserve">Reports and set-up: core reports, templates, cash forecast, Board portal, Consultants, data load</t>
  </si>
  <si>
    <t xml:space="preserve">Core reports and dashboards (18 p-d), Document templates (8 p-d), Configuration from policies (4 p-d), FIN-05, FIN-09, CON-03, GOV-01</t>
  </si>
  <si>
    <t xml:space="preserve">System test</t>
  </si>
  <si>
    <t xml:space="preserve">Functional and negative tests, AT-01 to AT-24, load test, ITL/MCB/CASS end to end, penetration test</t>
  </si>
  <si>
    <t xml:space="preserve">–</t>
  </si>
  <si>
    <t xml:space="preserve">UAT and training</t>
  </si>
  <si>
    <t xml:space="preserve">FSA runs UAT; Appendix D data loaded and reconciled; training by role; Appendix E checklist</t>
  </si>
  <si>
    <t xml:space="preserve">Go-live</t>
  </si>
  <si>
    <t xml:space="preserve">Release 1 live on 5 April 2027; two weeks of hypercare</t>
  </si>
  <si>
    <t xml:space="preserve">Lot 1 total</t>
  </si>
  <si>
    <t xml:space="preserve">Fixed price (Financial Offer)</t>
  </si>
  <si>
    <t xml:space="preserve">Rounding to US$100</t>
  </si>
  <si>
    <t xml:space="preserve">Should scope validated with owners; backlog signed off</t>
  </si>
  <si>
    <t xml:space="preserve">Sprint 8</t>
  </si>
  <si>
    <t xml:space="preserve">Open calls and applications: external portal, save and resume, DD checklists, data room, site visits</t>
  </si>
  <si>
    <t xml:space="preserve">INV-02, INV-16, INV-17, INV-12, INV-18</t>
  </si>
  <si>
    <t xml:space="preserve">Sprint 9</t>
  </si>
  <si>
    <t xml:space="preserve">Deal terms and funds: clause library, e-signature, fund investments, loan pricing, capital calls</t>
  </si>
  <si>
    <t xml:space="preserve">INV-19, INV-11, PFA-10, PFA-11, Should integrations (4 p-d)</t>
  </si>
  <si>
    <t xml:space="preserve">Sprint 10</t>
  </si>
  <si>
    <t xml:space="preserve">Portfolio, risk and treasury: workouts, impact library, KRIs and ALM, FX, market data, AAF pack, BI API</t>
  </si>
  <si>
    <t xml:space="preserve">PFA-09, PFA-14, PFA-16, RSK-06, FIN-06, FIN-07, FIN-08, Should integrations (9 p-d)</t>
  </si>
  <si>
    <t xml:space="preserve">Sprint 11</t>
  </si>
  <si>
    <t xml:space="preserve">Compliance, procurement, people and governance registers; Release 2 reports</t>
  </si>
  <si>
    <t xml:space="preserve">CMP-08, CMP-11, CMP-13, PRC-03, PRC-05, TRV-04, CON-01, CON-04, GOV-04, GOV-05, GOV-07, Release 2 reports (6 p-d)</t>
  </si>
  <si>
    <t xml:space="preserve">Regression and Should acceptance tests</t>
  </si>
  <si>
    <t xml:space="preserve">FSA runs UAT; training on Release 2</t>
  </si>
  <si>
    <t xml:space="preserve">Release 2 live on 26 July 2027; one week of hypercare</t>
  </si>
  <si>
    <t xml:space="preserve">Lot 2 total</t>
  </si>
  <si>
    <t xml:space="preserve">Could scope validated; portal templates agreed</t>
  </si>
  <si>
    <t xml:space="preserve">Sprint 12</t>
  </si>
  <si>
    <t xml:space="preserve">Stress tests and investee health score</t>
  </si>
  <si>
    <t xml:space="preserve">RSK-07, PFA-15</t>
  </si>
  <si>
    <t xml:space="preserve">Sprint 13</t>
  </si>
  <si>
    <t xml:space="preserve">Investee and GP upload portal; self-assessment, travel insurance, succession registers</t>
  </si>
  <si>
    <t xml:space="preserve">Investee and GP portal (6 p-d), RSK-08, TRV-05, GOV-06</t>
  </si>
  <si>
    <t xml:space="preserve">Regression and Could acceptance tests</t>
  </si>
  <si>
    <t xml:space="preserve">FSA runs UAT</t>
  </si>
  <si>
    <t xml:space="preserve">Lot 3 live on 20 September 2027; one week of hypercare</t>
  </si>
  <si>
    <t xml:space="preserve">Lot 3 total</t>
  </si>
  <si>
    <t xml:space="preserve">All lots</t>
  </si>
  <si>
    <t xml:space="preserve">Check: equals the Staffing Plan</t>
  </si>
  <si>
    <t xml:space="preserve">Gantt – week by week</t>
  </si>
  <si>
    <t xml:space="preserve">One row per iteration; each coloured cell is a working week. ◆ = go-live. Cost per iteration from the Sprint Plan.</t>
  </si>
  <si>
    <t xml:space="preserve">Nov 26</t>
  </si>
  <si>
    <t xml:space="preserve">Dec 26</t>
  </si>
  <si>
    <t xml:space="preserve">Jan 27</t>
  </si>
  <si>
    <t xml:space="preserve">Feb 27</t>
  </si>
  <si>
    <t xml:space="preserve">Mar 27</t>
  </si>
  <si>
    <t xml:space="preserve">Apr 27</t>
  </si>
  <si>
    <t xml:space="preserve">May 27</t>
  </si>
  <si>
    <t xml:space="preserve">Jun 27</t>
  </si>
  <si>
    <t xml:space="preserve">Jul 27</t>
  </si>
  <si>
    <t xml:space="preserve">Aug 27</t>
  </si>
  <si>
    <t xml:space="preserve">Sep 27</t>
  </si>
  <si>
    <t xml:space="preserve">Days</t>
  </si>
  <si>
    <t xml:space="preserve">◆</t>
  </si>
  <si>
    <t xml:space="preserve">Roadmap by phase</t>
  </si>
  <si>
    <t xml:space="preserve">Summed from the Staffing Plan. Working days exclude weekends and the year-end days off.</t>
  </si>
  <si>
    <t xml:space="preserve">Value (US$)</t>
  </si>
  <si>
    <t xml:space="preserve">Team on the phase</t>
  </si>
  <si>
    <t xml:space="preserve">EL 40%, BA 100%, SD1 40%, SD2 20%, OPS 40%</t>
  </si>
  <si>
    <t xml:space="preserve">EL 20%, BA 70%, SD1 100%, SD2 100%, DEV1 100%, DEV2 100%, DEV3 100%, QA 40%, OPS 5%</t>
  </si>
  <si>
    <t xml:space="preserve">EL 30%, BA 40%, SD1 100%, SD2 70%, DEV1 70%, DEV2 30%, DEV3 30%, QA 100%, OPS 30%</t>
  </si>
  <si>
    <t xml:space="preserve">EL 30%, BA 80%, SD1 40%, SD2 20%, DEV1 30%, QA 60%, OPS 10%</t>
  </si>
  <si>
    <t xml:space="preserve">EL 20%, BA 40%, SD1 40%, DEV1 30%, QA 10%, OPS 30%</t>
  </si>
  <si>
    <t xml:space="preserve">Training overlaps UAT; working days of overlapping phases are not additive.</t>
  </si>
  <si>
    <t xml:space="preserve">EL 40%, BA 100%, SD1 30%</t>
  </si>
  <si>
    <t xml:space="preserve">EL 15%, BA 40%, SD1 100%, DEV1 100%, DEV2 100%, QA 35%, OPS 5%</t>
  </si>
  <si>
    <t xml:space="preserve">EL 20%, BA 30%, SD1 60%, DEV1 80%, DEV2 40%, QA 100%, OPS 20%</t>
  </si>
  <si>
    <t xml:space="preserve">EL 20%, BA 80%, SD1 30%, DEV1 30%, QA 60%</t>
  </si>
  <si>
    <t xml:space="preserve">EL 10%, BA 40%, SD1 40%, OPS 30%</t>
  </si>
  <si>
    <t xml:space="preserve">EL 10%, BA 50%</t>
  </si>
  <si>
    <t xml:space="preserve">EL 5%, BA 15%, SD1 25%, DEV1 100%, QA 15%</t>
  </si>
  <si>
    <t xml:space="preserve">DEV1 80%, QA 50%</t>
  </si>
  <si>
    <t xml:space="preserve">BA 50%, DEV1 30%, QA 30%</t>
  </si>
  <si>
    <t xml:space="preserve">DEV1 30%, OPS 10%</t>
  </si>
  <si>
    <t xml:space="preserve">Price per lot and capacity check</t>
  </si>
  <si>
    <t xml:space="preserve">Price = Staffing Plan cost, rounded to US$100. The check compares build work estimated in Annex 1 and Cross-cutting with the build capacity staffed.</t>
  </si>
  <si>
    <t xml:space="preserve">Line</t>
  </si>
  <si>
    <t xml:space="preserve">Lot 1 – Must</t>
  </si>
  <si>
    <t xml:space="preserve">Lot 2 – Should</t>
  </si>
  <si>
    <t xml:space="preserve">Lot 3 – Could</t>
  </si>
  <si>
    <t xml:space="preserve">Total person-days (Staffing Plan)</t>
  </si>
  <si>
    <t xml:space="preserve">Staffing cost (US$)</t>
  </si>
  <si>
    <t xml:space="preserve">Fixed price, rounded (US$)</t>
  </si>
  <si>
    <t xml:space="preserve">Share of total price</t>
  </si>
  <si>
    <t xml:space="preserve">Build work needed: requirements (Annex 1)</t>
  </si>
  <si>
    <t xml:space="preserve">Build work needed: cross-cutting</t>
  </si>
  <si>
    <t xml:space="preserve">Build work needed: total</t>
  </si>
  <si>
    <t xml:space="preserve">Build capacity staffed (developers and BA in design and build phases)</t>
  </si>
  <si>
    <t xml:space="preserve">Capacity check</t>
  </si>
  <si>
    <t xml:space="preserve">Capacity counts developer and functional-consultant days in design and build only; test, UAT and go-live days are for fixing and acceptance. A 3% tolerance is accepted.</t>
  </si>
  <si>
    <t xml:space="preserve">Financial offer</t>
  </si>
  <si>
    <t xml:space="preserve">Fixed price per lot, US$, excluding taxes. FSA may award Lot 1 alone, Lots 1+2, or all three.</t>
  </si>
  <si>
    <t xml:space="preserve">Scope</t>
  </si>
  <si>
    <t xml:space="preserve">Fixed price (US$)</t>
  </si>
  <si>
    <t xml:space="preserve">59 Must requirements, platform core, Must integrations, core reports, set-up, training, go-live</t>
  </si>
  <si>
    <t xml:space="preserve">27 Should requirements, Should integrations and reports, training</t>
  </si>
  <si>
    <t xml:space="preserve">5 Could requirements and investee/GP portal</t>
  </si>
  <si>
    <t xml:space="preserve">Total, all lots</t>
  </si>
  <si>
    <t xml:space="preserve">Payment milestones (each lot)</t>
  </si>
  <si>
    <t xml:space="preserve">Milestone</t>
  </si>
  <si>
    <t xml:space="preserve">Trigger</t>
  </si>
  <si>
    <t xml:space="preserve">Share</t>
  </si>
  <si>
    <t xml:space="preserve">Lot 1 (US$)</t>
  </si>
  <si>
    <t xml:space="preserve">Lot 2 (US$)</t>
  </si>
  <si>
    <t xml:space="preserve">Lot 3 (US$)</t>
  </si>
  <si>
    <t xml:space="preserve">M1</t>
  </si>
  <si>
    <t xml:space="preserve">Contract signature / lot start</t>
  </si>
  <si>
    <t xml:space="preserve">M2</t>
  </si>
  <si>
    <t xml:space="preserve">Design and configuration sign-off</t>
  </si>
  <si>
    <t xml:space="preserve">M3</t>
  </si>
  <si>
    <t xml:space="preserve">UAT and Appendix F tests passed</t>
  </si>
  <si>
    <t xml:space="preserve">M4</t>
  </si>
  <si>
    <t xml:space="preserve">Go-live + 30 days of stable operation</t>
  </si>
  <si>
    <t xml:space="preserve">Recurring fees</t>
  </si>
  <si>
    <t xml:space="preserve">Item</t>
  </si>
  <si>
    <t xml:space="preserve">Basis</t>
  </si>
  <si>
    <t xml:space="preserve">US$ per year</t>
  </si>
  <si>
    <t xml:space="preserve">Hosting (3 environments) + backups with second provider</t>
  </si>
  <si>
    <t xml:space="preserve">Monthly, from contract start</t>
  </si>
  <si>
    <t xml:space="preserve">Support and maintenance retainer</t>
  </si>
  <si>
    <t xml:space="preserve">Monthly, from Lot 1 go-live</t>
  </si>
  <si>
    <t xml:space="preserve">Independent penetration test</t>
  </si>
  <si>
    <t xml:space="preserve">Annual retest by a regional certified firm (full test before go-live: see TCO year 1)</t>
  </si>
  <si>
    <t xml:space="preserve">Software licences</t>
  </si>
  <si>
    <t xml:space="preserve">Open source</t>
  </si>
  <si>
    <t xml:space="preserve">Total per full year</t>
  </si>
  <si>
    <t xml:space="preserve">Prices fixed for the scope of EBRD v1.0, valid 90 days. Excludes VAT/withholding tax, travel to Mauritius (at cost, pre-approved), third-party subscriptions held by FSA.</t>
  </si>
  <si>
    <t xml:space="preserve">Total cost of ownership – 5 contract years</t>
  </si>
  <si>
    <t xml:space="preserve">Year 1 starts at contract signature (13 Nov 2026). Lots 1–3 all go live in year 1.</t>
  </si>
  <si>
    <t xml:space="preserve">Cost line</t>
  </si>
  <si>
    <t xml:space="preserve">Year 1</t>
  </si>
  <si>
    <t xml:space="preserve">Year 2</t>
  </si>
  <si>
    <t xml:space="preserve">Year 3</t>
  </si>
  <si>
    <t xml:space="preserve">Year 4</t>
  </si>
  <si>
    <t xml:space="preserve">Year 5</t>
  </si>
  <si>
    <t xml:space="preserve">5-year total</t>
  </si>
  <si>
    <t xml:space="preserve">Implementation – Lot 1 (Must)</t>
  </si>
  <si>
    <t xml:space="preserve">Implementation – Lot 2 (Should)</t>
  </si>
  <si>
    <t xml:space="preserve">Implementation – Lot 3 (Could)</t>
  </si>
  <si>
    <t xml:space="preserve">Hosting and backups</t>
  </si>
  <si>
    <t xml:space="preserve">Support and maintenance</t>
  </si>
  <si>
    <t xml:space="preserve">Months of support in year (input)</t>
  </si>
  <si>
    <t xml:space="preserve">Indexation factor</t>
  </si>
  <si>
    <t xml:space="preserve">Support starts at Lot 1 go-live (5 Apr 2027): about 7 months fall in year 1. Defects before go-live are fixed under the implementation price.</t>
  </si>
  <si>
    <t xml:space="preserve">Payment schedule – what FSA pays and when</t>
  </si>
  <si>
    <t xml:space="preserve">Milestone invoices per lot, then FSA's monthly outflow in contract year 1 (Nov 2026 – Oct 2027) and years 2 to 5 from the TCO.</t>
  </si>
  <si>
    <t xml:space="preserve">Invoice date</t>
  </si>
  <si>
    <t xml:space="preserve">Amount (US$)</t>
  </si>
  <si>
    <t xml:space="preserve">Contract signature</t>
  </si>
  <si>
    <t xml:space="preserve">Go-live + 30 days stable</t>
  </si>
  <si>
    <t xml:space="preserve">Lot start</t>
  </si>
  <si>
    <t xml:space="preserve">Design sign-off</t>
  </si>
  <si>
    <t xml:space="preserve">UAT passed</t>
  </si>
  <si>
    <t xml:space="preserve">Contract year 1, month by month</t>
  </si>
  <si>
    <t xml:space="preserve">Month</t>
  </si>
  <si>
    <t xml:space="preserve">Implementation milestones</t>
  </si>
  <si>
    <t xml:space="preserve">Hosting</t>
  </si>
  <si>
    <t xml:space="preserve">Support</t>
  </si>
  <si>
    <t xml:space="preserve">Penetration test</t>
  </si>
  <si>
    <t xml:space="preserve">Cumulative</t>
  </si>
  <si>
    <t xml:space="preserve">Year 1 total</t>
  </si>
  <si>
    <t xml:space="preserve">Check: equals TCO year 1</t>
  </si>
  <si>
    <t xml:space="preserve">Years 2 to 5</t>
  </si>
  <si>
    <t xml:space="preserve">Year</t>
  </si>
  <si>
    <t xml:space="preserve">Implementation</t>
  </si>
  <si>
    <t xml:space="preserve">Hosting bill – line by line</t>
  </si>
  <si>
    <t xml:space="preserve">OVHcloud and Hetzner public list prices read 18 Oct 2026, US$ excl. VAT. Monthly = Qty × Unit price × Use.</t>
  </si>
  <si>
    <t xml:space="preserve">Size</t>
  </si>
  <si>
    <t xml:space="preserve">Qty</t>
  </si>
  <si>
    <t xml:space="preserve">Unit price (US$)</t>
  </si>
  <si>
    <t xml:space="preserve">Unit</t>
  </si>
  <si>
    <t xml:space="preserve">Use per month</t>
  </si>
  <si>
    <t xml:space="preserve">US$ / month</t>
  </si>
  <si>
    <t xml:space="preserve">Live · OVHcloud Paris, 3 availability zones</t>
  </si>
  <si>
    <t xml:space="preserve">Hourly list price: 3-AZ resources are not eligible for Savings Plans</t>
  </si>
  <si>
    <t xml:space="preserve">Application servers (Frappe, Gunicorn, Redis, background workers), one per zone</t>
  </si>
  <si>
    <t xml:space="preserve">b3-8 · 2 vCPU · 8 GB RAM</t>
  </si>
  <si>
    <t xml:space="preserve">per hour</t>
  </si>
  <si>
    <t xml:space="preserve">Local NVMe disk of the application servers</t>
  </si>
  <si>
    <t xml:space="preserve">50 GB each</t>
  </si>
  <si>
    <t xml:space="preserve">per GB-month</t>
  </si>
  <si>
    <t xml:space="preserve">Database servers: MariaDB primary and replica in different zones</t>
  </si>
  <si>
    <t xml:space="preserve">Local NVMe disk of the database servers</t>
  </si>
  <si>
    <t xml:space="preserve">Database data volumes (Block Storage High Speed Gen2)</t>
  </si>
  <si>
    <t xml:space="preserve">100 GB each</t>
  </si>
  <si>
    <t xml:space="preserve">Load Balancer across the zones</t>
  </si>
  <si>
    <t xml:space="preserve">Size S</t>
  </si>
  <si>
    <t xml:space="preserve">Public floating IP of the load balancer</t>
  </si>
  <si>
    <t xml:space="preserve">IPv4 /32</t>
  </si>
  <si>
    <t xml:space="preserve">Gateway: outbound internet for the private servers</t>
  </si>
  <si>
    <t xml:space="preserve">Documents and attachments (Object Storage Standard, 3-AZ)</t>
  </si>
  <si>
    <t xml:space="preserve">250 GiB</t>
  </si>
  <si>
    <t xml:space="preserve">per GiB-month</t>
  </si>
  <si>
    <t xml:space="preserve">Subtotal</t>
  </si>
  <si>
    <t xml:space="preserve">Test and UAT · OVHcloud France, single-zone region</t>
  </si>
  <si>
    <t xml:space="preserve">12-month Savings Plan (−15% on compute) allowed outside 3-AZ</t>
  </si>
  <si>
    <t xml:space="preserve">UAT server: copy of live on one server</t>
  </si>
  <si>
    <t xml:space="preserve">per month (12-month plan)</t>
  </si>
  <si>
    <t xml:space="preserve">Local NVMe disk of the UAT server</t>
  </si>
  <si>
    <t xml:space="preserve">50 GB</t>
  </si>
  <si>
    <t xml:space="preserve">Test server for sprints and system test</t>
  </si>
  <si>
    <t xml:space="preserve">d2-8 · 4 vCPU · 8 GB RAM</t>
  </si>
  <si>
    <t xml:space="preserve">Public IPv4 of the test and UAT servers</t>
  </si>
  <si>
    <t xml:space="preserve">Monitoring and secrets · OVHcloud</t>
  </si>
  <si>
    <t xml:space="preserve">Prometheus, Grafana, Uptime Kuma and HashiCorp Vault (open source) on one server</t>
  </si>
  <si>
    <t xml:space="preserve">Monitoring and secrets-vault server</t>
  </si>
  <si>
    <t xml:space="preserve">d2-4 · 2 vCPU · 4 GB RAM</t>
  </si>
  <si>
    <t xml:space="preserve">Public IPv4 of the monitoring server</t>
  </si>
  <si>
    <t xml:space="preserve">Backups, first copy · OVHcloud</t>
  </si>
  <si>
    <t xml:space="preserve">Daily, encrypted, 30 days kept</t>
  </si>
  <si>
    <t xml:space="preserve">Daily database and file backups (Object Storage Standard, deduplicated)</t>
  </si>
  <si>
    <t xml:space="preserve">300 GiB</t>
  </si>
  <si>
    <t xml:space="preserve">Weekly backups of the 4 live servers, 2 kept (Instance Backup)</t>
  </si>
  <si>
    <t xml:space="preserve">400 GB</t>
  </si>
  <si>
    <t xml:space="preserve">Backups, second provider · Hetzner, Germany</t>
  </si>
  <si>
    <t xml:space="preserve">Required by §7.3: backups held with a second provider</t>
  </si>
  <si>
    <t xml:space="preserve">Storage Box BX11: encrypted daily copy (€3.20 a month)</t>
  </si>
  <si>
    <t xml:space="preserve">1 TB</t>
  </si>
  <si>
    <t xml:space="preserve">per month</t>
  </si>
  <si>
    <t xml:space="preserve">Quarterly restore test on a temporary server (24 h, 4 times a year)</t>
  </si>
  <si>
    <t xml:space="preserve">b3-8, billed by the hour</t>
  </si>
  <si>
    <t xml:space="preserve">Total at list prices</t>
  </si>
  <si>
    <t xml:space="preserve">Fixed monthly hosting fee to FSA, year 1 (input)</t>
  </si>
  <si>
    <t xml:space="preserve">Contingency for exchange rate and supplier price changes</t>
  </si>
  <si>
    <t xml:space="preserve">Five-year hosting cost</t>
  </si>
  <si>
    <t xml:space="preserve">Monthly fee (US$)</t>
  </si>
  <si>
    <t xml:space="preserve">Yearly (US$)</t>
  </si>
  <si>
    <t xml:space="preserve">730 hours billed per month for anything priced by the hour.</t>
  </si>
  <si>
    <t xml:space="preserve">Live in the Paris 3-AZ region at the hourly list price: OVHcloud does not give Savings Plan discounts on 3-AZ resources.</t>
  </si>
  <si>
    <t xml:space="preserve">Test and UAT in a single-zone French region; UAT b3-8 on the 12-month plan (−15% on compute).</t>
  </si>
  <si>
    <t xml:space="preserve">Local NVMe disks and public IPv4 addresses billed separately since 1 October 2026 (OVHcloud).</t>
  </si>
  <si>
    <t xml:space="preserve">Outbound traffic in Europe, traffic between zones and the private network are included at no charge.</t>
  </si>
  <si>
    <t xml:space="preserve">Hetzner €3.20 converted at 1 EUR = US$1.12 (EUR/USD 1.1239 on 16 Oct 2026).</t>
  </si>
  <si>
    <t xml:space="preserve">Sized for about 35 named users (Appendix G: “a small number of users”); servers move one size up beyond about 100 users.</t>
  </si>
  <si>
    <t xml:space="preserve">Sources</t>
  </si>
  <si>
    <t xml:space="preserve">OVHcloud Public Cloud price list (USD, excl. VAT), read 18 Oct 2026</t>
  </si>
  <si>
    <t xml:space="preserve">OVHcloud: Public Cloud pricing update from 1 October 2026</t>
  </si>
  <si>
    <t xml:space="preserve">Hetzner Storage Box</t>
  </si>
  <si>
    <t xml:space="preserve">Hetzner Storage Box BX11 listing (€3.20 a month)</t>
  </si>
  <si>
    <t xml:space="preserve">Hosting price increases 2026: Hetzner and OVHcloud</t>
  </si>
  <si>
    <t xml:space="preserve">EUR/USD history 2026 (1.1239 on 16 Oct 2026)</t>
  </si>
  <si>
    <t xml:space="preserve">Qualified deviations</t>
  </si>
  <si>
    <t xml:space="preserve">Every point where the offer departs from, or qualifies, the EBRD.</t>
  </si>
  <si>
    <t xml:space="preserve">#</t>
  </si>
  <si>
    <t xml:space="preserve">Requirement</t>
  </si>
  <si>
    <t xml:space="preserve">Qualification</t>
  </si>
  <si>
    <t xml:space="preserve">Impact for FSA</t>
  </si>
  <si>
    <t xml:space="preserve">Principle 10, App. G</t>
  </si>
  <si>
    <t xml:space="preserve">Configure, don't build; licensed product</t>
  </si>
  <si>
    <t xml:space="preserve">We configure an open-source licensed product (Frappe/ERPNext, GPLv3/MIT) and develop only FSA-specific controls as one app on the same framework: 27 of 91 requirements.</t>
  </si>
  <si>
    <t xml:space="preserve">Meets both the invitation and Appendix G; code documented and in escrow.</t>
  </si>
  <si>
    <t xml:space="preserve">INV-19, 7.2</t>
  </si>
  <si>
    <t xml:space="preserve">E-signature service</t>
  </si>
  <si>
    <t xml:space="preserve">Integrated with FSA's chosen provider; subscription paid by FSA.</t>
  </si>
  <si>
    <t xml:space="preserve">Licence outside our price.</t>
  </si>
  <si>
    <t xml:space="preserve">CMP-02, 7.2, App. G</t>
  </si>
  <si>
    <t xml:space="preserve">Screening service</t>
  </si>
  <si>
    <t xml:space="preserve">UN Consolidated List feed included. Other lists need the screening subscription that Appendix G lists as FSA's dependency; we integrate it.</t>
  </si>
  <si>
    <t xml:space="preserve">Subscription outside our price.</t>
  </si>
  <si>
    <t xml:space="preserve">PRC-08, 7.2</t>
  </si>
  <si>
    <t xml:space="preserve">MCB integration</t>
  </si>
  <si>
    <t xml:space="preserve">Host-to-host depends on MCB. Until enabled, statements and payment files move by secure upload with the same controls.</t>
  </si>
  <si>
    <t xml:space="preserve">One manual step until MCB enables host-to-host.</t>
  </si>
  <si>
    <t xml:space="preserve">Export to PowerPoint</t>
  </si>
  <si>
    <t xml:space="preserve">Not standard in Frappe; developed and included in the price.</t>
  </si>
  <si>
    <t xml:space="preserve">None.</t>
  </si>
  <si>
    <t xml:space="preserve">7.3</t>
  </si>
  <si>
    <t xml:space="preserve">99.9% availability</t>
  </si>
  <si>
    <t xml:space="preserve">Multi-zone in one region (OVHcloud Paris 3-AZ); cross-region failover offered as an option.</t>
  </si>
  <si>
    <t xml:space="preserve">7.3 recovery times met.</t>
  </si>
  <si>
    <t xml:space="preserve">7.3, App. H</t>
  </si>
  <si>
    <t xml:space="preserve">Data location</t>
  </si>
  <si>
    <t xml:space="preserve">Data hosted in the European Union (France), backups in Germany; transfer from Mauritius covered by the Data Processing Agreement and GDPR-level safeguards. African hosting available as an option at higher cost.</t>
  </si>
  <si>
    <t xml:space="preserve">FSA to confirm EU hosting is acceptable.</t>
  </si>
  <si>
    <t xml:space="preserve">App. E</t>
  </si>
  <si>
    <t xml:space="preserve">Early post-go-live support</t>
  </si>
  <si>
    <t xml:space="preserve">Two weeks of hypercare after Lot 1 go-live (one week for Lots 2 and 3), then the support retainer applies.</t>
  </si>
  <si>
    <t xml:space="preserve">Support continuous from go-live.</t>
  </si>
  <si>
    <t xml:space="preserve">App. G</t>
  </si>
  <si>
    <t xml:space="preserve">User numbers</t>
  </si>
  <si>
    <t xml:space="preserve">No per-user licence; hosting sized for about 35 named users.</t>
  </si>
  <si>
    <t xml:space="preserve">Little price sensitivity to user numbers.</t>
  </si>
  <si>
    <t xml:space="preserve">Out of scope</t>
  </si>
  <si>
    <t xml:space="preserve">ITL ledger, payroll, AAF operations</t>
  </si>
  <si>
    <t xml:space="preserve">Accepted as out of scope.</t>
  </si>
</sst>
</file>

<file path=xl/styles.xml><?xml version="1.0" encoding="utf-8"?>
<styleSheet xmlns="http://schemas.openxmlformats.org/spreadsheetml/2006/main">
  <numFmts count="15">
    <numFmt numFmtId="164" formatCode="General"/>
    <numFmt numFmtId="165" formatCode="\$#,##0;&quot;($&quot;#,##0\);\-"/>
    <numFmt numFmtId="166" formatCode="dd\ mmm\ yyyy"/>
    <numFmt numFmtId="167" formatCode="0.0%"/>
    <numFmt numFmtId="168" formatCode="0"/>
    <numFmt numFmtId="169" formatCode="#,##0.0;\(#,##0.0\);\-"/>
    <numFmt numFmtId="170" formatCode="0%"/>
    <numFmt numFmtId="171" formatCode="\$#,##0.00;&quot;($&quot;#,##0.00\);\-"/>
    <numFmt numFmtId="172" formatCode="General"/>
    <numFmt numFmtId="173" formatCode="#,##0;\(#,##0\);\-"/>
    <numFmt numFmtId="174" formatCode="0.000"/>
    <numFmt numFmtId="175" formatCode="mmm\ yyyy"/>
    <numFmt numFmtId="176" formatCode="0.00000"/>
    <numFmt numFmtId="177" formatCode="#,##0"/>
    <numFmt numFmtId="178" formatCode="\$#,##0.00"/>
  </numFmts>
  <fonts count="18">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1"/>
      <color rgb="FF595959"/>
      <name val="Arial"/>
      <family val="0"/>
      <charset val="1"/>
    </font>
    <font>
      <b val="true"/>
      <sz val="11"/>
      <name val="Arial"/>
      <family val="0"/>
      <charset val="1"/>
    </font>
    <font>
      <sz val="11"/>
      <name val="Arial"/>
      <family val="0"/>
      <charset val="1"/>
    </font>
    <font>
      <b val="true"/>
      <sz val="11"/>
      <color rgb="FFFFFFFF"/>
      <name val="Arial"/>
      <family val="0"/>
      <charset val="1"/>
    </font>
    <font>
      <sz val="11"/>
      <color rgb="FF0000FF"/>
      <name val="Arial"/>
      <family val="0"/>
      <charset val="1"/>
    </font>
    <font>
      <sz val="11"/>
      <color rgb="FF008000"/>
      <name val="Arial"/>
      <family val="0"/>
      <charset val="1"/>
    </font>
    <font>
      <sz val="11"/>
      <name val="730"/>
      <family val="0"/>
      <charset val="1"/>
    </font>
    <font>
      <sz val="11"/>
      <color rgb="FF000000"/>
      <name val="Arial"/>
      <family val="0"/>
      <charset val="1"/>
    </font>
    <font>
      <sz val="11"/>
      <color rgb="FFFFFFFF"/>
      <name val="Arial"/>
      <family val="0"/>
      <charset val="1"/>
    </font>
    <font>
      <b val="true"/>
      <sz val="9"/>
      <name val="Arial"/>
      <family val="0"/>
      <charset val="1"/>
    </font>
    <font>
      <b val="true"/>
      <sz val="8"/>
      <color rgb="FFFFFFFF"/>
      <name val="Arial"/>
      <family val="0"/>
      <charset val="1"/>
    </font>
    <font>
      <b val="true"/>
      <sz val="11"/>
      <color rgb="FFE2A514"/>
      <name val="Arial"/>
      <family val="0"/>
      <charset val="1"/>
    </font>
    <font>
      <u val="single"/>
      <sz val="11"/>
      <color rgb="FF0563C1"/>
      <name val="Arial"/>
      <family val="0"/>
      <charset val="1"/>
    </font>
  </fonts>
  <fills count="9">
    <fill>
      <patternFill patternType="none"/>
    </fill>
    <fill>
      <patternFill patternType="gray125"/>
    </fill>
    <fill>
      <patternFill patternType="solid">
        <fgColor rgb="FF141311"/>
        <bgColor rgb="FF000000"/>
      </patternFill>
    </fill>
    <fill>
      <patternFill patternType="solid">
        <fgColor rgb="FFFFFF00"/>
        <bgColor rgb="FFFFFF00"/>
      </patternFill>
    </fill>
    <fill>
      <patternFill patternType="solid">
        <fgColor rgb="FF9FB7CC"/>
        <bgColor rgb="FFBFBFBF"/>
      </patternFill>
    </fill>
    <fill>
      <patternFill patternType="solid">
        <fgColor rgb="FF18568D"/>
        <bgColor rgb="FF0563C1"/>
      </patternFill>
    </fill>
    <fill>
      <patternFill patternType="solid">
        <fgColor rgb="FF6198BD"/>
        <bgColor rgb="FF808080"/>
      </patternFill>
    </fill>
    <fill>
      <patternFill patternType="solid">
        <fgColor rgb="FFA8D2E3"/>
        <bgColor rgb="FF9FB7CC"/>
      </patternFill>
    </fill>
    <fill>
      <patternFill patternType="solid">
        <fgColor rgb="FF2E8B57"/>
        <bgColor rgb="FF008080"/>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hair">
        <color rgb="FFDDDDDD"/>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8" fontId="9" fillId="3"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9" fontId="9" fillId="0" borderId="1" xfId="0" applyFont="true" applyBorder="true" applyAlignment="true" applyProtection="false">
      <alignment horizontal="general" vertical="top" textRotation="0" wrapText="tru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6" fontId="9"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70" fontId="9" fillId="3" borderId="1" xfId="0" applyFont="true" applyBorder="true" applyAlignment="true" applyProtection="false">
      <alignment horizontal="general" vertical="top" textRotation="0" wrapText="true" indent="0" shrinkToFit="false"/>
      <protection locked="true" hidden="false"/>
    </xf>
    <xf numFmtId="169" fontId="7"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70" fontId="7" fillId="0" borderId="1" xfId="0" applyFont="true" applyBorder="true" applyAlignment="true" applyProtection="false">
      <alignment horizontal="general" vertical="top" textRotation="0" wrapText="tru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true" applyProtection="false">
      <alignment horizontal="general" vertical="top" textRotation="0" wrapText="true" indent="0" shrinkToFit="false"/>
      <protection locked="true" hidden="false"/>
    </xf>
    <xf numFmtId="164" fontId="12" fillId="6" borderId="1" xfId="0" applyFont="true" applyBorder="true" applyAlignment="true" applyProtection="false">
      <alignment horizontal="general" vertical="top" textRotation="0" wrapText="true" indent="0" shrinkToFit="false"/>
      <protection locked="true" hidden="false"/>
    </xf>
    <xf numFmtId="164" fontId="12" fillId="7" borderId="1" xfId="0" applyFont="true" applyBorder="true" applyAlignment="true" applyProtection="false">
      <alignment horizontal="general" vertical="top" textRotation="0" wrapText="true" indent="0" shrinkToFit="false"/>
      <protection locked="true" hidden="false"/>
    </xf>
    <xf numFmtId="164" fontId="13" fillId="8" borderId="1" xfId="0" applyFont="true" applyBorder="true" applyAlignment="true" applyProtection="false">
      <alignment horizontal="general" vertical="top" textRotation="0" wrapText="true" indent="0" shrinkToFit="false"/>
      <protection locked="true" hidden="false"/>
    </xf>
    <xf numFmtId="169"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false" applyProtection="false">
      <alignment horizontal="general" vertical="bottom" textRotation="0" wrapText="false" indent="0" shrinkToFit="false"/>
      <protection locked="true" hidden="false"/>
    </xf>
    <xf numFmtId="164" fontId="15" fillId="2" borderId="0" xfId="0" applyFont="true" applyBorder="fals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72" fontId="10"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0" fillId="5" borderId="2" xfId="0" applyFont="false" applyBorder="true" applyAlignment="false" applyProtection="false">
      <alignment horizontal="general" vertical="bottom" textRotation="0" wrapText="false" indent="0" shrinkToFit="false"/>
      <protection locked="true" hidden="false"/>
    </xf>
    <xf numFmtId="164" fontId="0" fillId="6" borderId="2" xfId="0" applyFont="false" applyBorder="true" applyAlignment="false" applyProtection="false">
      <alignment horizontal="general" vertical="bottom" textRotation="0" wrapText="false" indent="0" shrinkToFit="false"/>
      <protection locked="true" hidden="false"/>
    </xf>
    <xf numFmtId="164" fontId="0" fillId="7" borderId="2" xfId="0" applyFont="false" applyBorder="true" applyAlignment="false" applyProtection="false">
      <alignment horizontal="general" vertical="bottom" textRotation="0" wrapText="false" indent="0" shrinkToFit="false"/>
      <protection locked="true" hidden="false"/>
    </xf>
    <xf numFmtId="164" fontId="16" fillId="8" borderId="2" xfId="0" applyFont="true" applyBorder="true" applyAlignment="true" applyProtection="false">
      <alignment horizontal="center" vertical="bottom" textRotation="0" wrapText="false" indent="0" shrinkToFit="false"/>
      <protection locked="true" hidden="false"/>
    </xf>
    <xf numFmtId="164" fontId="0" fillId="8" borderId="2" xfId="0" applyFont="false" applyBorder="tru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70" fontId="9" fillId="3"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70" fontId="9" fillId="3" borderId="1" xfId="0" applyFont="true" applyBorder="true" applyAlignment="false" applyProtection="false">
      <alignment horizontal="general" vertical="bottom" textRotation="0" wrapText="false" indent="0" shrinkToFit="false"/>
      <protection locked="true" hidden="false"/>
    </xf>
    <xf numFmtId="175" fontId="7" fillId="0"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76" fontId="9" fillId="3" borderId="1" xfId="0" applyFont="true" applyBorder="true" applyAlignment="true" applyProtection="false">
      <alignment horizontal="general" vertical="top" textRotation="0" wrapText="true" indent="0" shrinkToFit="false"/>
      <protection locked="true" hidden="false"/>
    </xf>
    <xf numFmtId="177" fontId="9" fillId="3" borderId="1" xfId="0" applyFont="true" applyBorder="true" applyAlignment="true" applyProtection="false">
      <alignment horizontal="general" vertical="top" textRotation="0" wrapText="true" indent="0" shrinkToFit="false"/>
      <protection locked="true" hidden="false"/>
    </xf>
    <xf numFmtId="178" fontId="7" fillId="0" borderId="1" xfId="0" applyFont="true" applyBorder="true" applyAlignment="false" applyProtection="false">
      <alignment horizontal="general" vertical="bottom" textRotation="0" wrapText="false" indent="0" shrinkToFit="false"/>
      <protection locked="true" hidden="false"/>
    </xf>
    <xf numFmtId="178" fontId="6" fillId="0" borderId="0" xfId="0" applyFont="true" applyBorder="false" applyAlignment="false" applyProtection="false">
      <alignment horizontal="general" vertical="bottom" textRotation="0" wrapText="false" indent="0" shrinkToFit="false"/>
      <protection locked="true" hidden="false"/>
    </xf>
    <xf numFmtId="178" fontId="9" fillId="3"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78"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11"/>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FFFF00"/>
          <bgColor rgb="FF000000"/>
        </patternFill>
      </fill>
    </dxf>
    <dxf>
      <fill>
        <patternFill patternType="solid">
          <fgColor rgb="FF008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FB7CC"/>
      <rgbColor rgb="FF993366"/>
      <rgbColor rgb="FFFFFFCC"/>
      <rgbColor rgb="FFCCFFFF"/>
      <rgbColor rgb="FF660066"/>
      <rgbColor rgb="FFFF8080"/>
      <rgbColor rgb="FF0563C1"/>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A8D2E3"/>
      <rgbColor rgb="FFFF99CC"/>
      <rgbColor rgb="FFCC99FF"/>
      <rgbColor rgb="FFFFCC99"/>
      <rgbColor rgb="FF3366FF"/>
      <rgbColor rgb="FF33CCCC"/>
      <rgbColor rgb="FF99CC00"/>
      <rgbColor rgb="FFFFCC00"/>
      <rgbColor rgb="FFE2A514"/>
      <rgbColor rgb="FFFF6600"/>
      <rgbColor rgb="FF595959"/>
      <rgbColor rgb="FF6198BD"/>
      <rgbColor rgb="FF003366"/>
      <rgbColor rgb="FF2E8B57"/>
      <rgbColor rgb="FF141311"/>
      <rgbColor rgb="FF333300"/>
      <rgbColor rgb="FF993300"/>
      <rgbColor rgb="FF993366"/>
      <rgbColor rgb="FF18568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13.xml.rels><?xml version="1.0" encoding="UTF-8"?>
<Relationships xmlns="http://schemas.openxmlformats.org/package/2006/relationships"><Relationship Id="rId1" Type="http://schemas.openxmlformats.org/officeDocument/2006/relationships/hyperlink" Target="https://www.ovhcloud.com/en/public-cloud/prices/" TargetMode="External"/><Relationship Id="rId2" Type="http://schemas.openxmlformats.org/officeDocument/2006/relationships/hyperlink" Target="https://blog.ovhcloud.com/en/posts/public-cloud-pricing-update-october-2026/" TargetMode="External"/><Relationship Id="rId3" Type="http://schemas.openxmlformats.org/officeDocument/2006/relationships/hyperlink" Target="https://www.hetzner.com/storage/storage-box/" TargetMode="External"/><Relationship Id="rId4" Type="http://schemas.openxmlformats.org/officeDocument/2006/relationships/hyperlink" Target="https://www.whtop.com/plans/hetzner.com/128269" TargetMode="External"/><Relationship Id="rId5" Type="http://schemas.openxmlformats.org/officeDocument/2006/relationships/hyperlink" Target="https://www.hosting-tutorials.com/articles/hosting-price-increase-2026" TargetMode="External"/><Relationship Id="rId6" Type="http://schemas.openxmlformats.org/officeDocument/2006/relationships/hyperlink" Target="https://www.poundsterlinglive.com/history/EUR-USD-2026"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row>
    <row r="5" customFormat="false" ht="15" hidden="false" customHeight="false" outlineLevel="0" collapsed="false">
      <c r="A5" s="5" t="s">
        <v>4</v>
      </c>
      <c r="B5" s="6" t="s">
        <v>5</v>
      </c>
    </row>
    <row r="6" customFormat="false" ht="15" hidden="false" customHeight="false" outlineLevel="0" collapsed="false">
      <c r="A6" s="5" t="s">
        <v>6</v>
      </c>
      <c r="B6" s="6" t="s">
        <v>7</v>
      </c>
    </row>
    <row r="7" customFormat="false" ht="15" hidden="false" customHeight="false" outlineLevel="0" collapsed="false">
      <c r="A7" s="5" t="s">
        <v>8</v>
      </c>
      <c r="B7" s="6" t="s">
        <v>9</v>
      </c>
    </row>
    <row r="8" customFormat="false" ht="26.85" hidden="false" customHeight="false" outlineLevel="0" collapsed="false">
      <c r="A8" s="5" t="s">
        <v>10</v>
      </c>
      <c r="B8" s="6" t="s">
        <v>11</v>
      </c>
    </row>
    <row r="9" customFormat="false" ht="26.85" hidden="false" customHeight="false" outlineLevel="0" collapsed="false">
      <c r="A9" s="5" t="s">
        <v>12</v>
      </c>
      <c r="B9" s="6" t="s">
        <v>13</v>
      </c>
    </row>
    <row r="10" customFormat="false" ht="15" hidden="false" customHeight="false" outlineLevel="0" collapsed="false">
      <c r="A10" s="5" t="s">
        <v>14</v>
      </c>
      <c r="B10" s="6" t="s">
        <v>15</v>
      </c>
    </row>
    <row r="11" customFormat="false" ht="15" hidden="false" customHeight="false" outlineLevel="0" collapsed="false">
      <c r="A11" s="5" t="s">
        <v>16</v>
      </c>
      <c r="B11" s="6" t="s">
        <v>17</v>
      </c>
    </row>
    <row r="12" customFormat="false" ht="15" hidden="false" customHeight="false" outlineLevel="0" collapsed="false">
      <c r="A12" s="5" t="s">
        <v>18</v>
      </c>
      <c r="B12" s="6" t="s">
        <v>19</v>
      </c>
    </row>
    <row r="13" customFormat="false" ht="15" hidden="false" customHeight="false" outlineLevel="0" collapsed="false">
      <c r="A13" s="5" t="s">
        <v>20</v>
      </c>
      <c r="B13" s="6" t="s">
        <v>21</v>
      </c>
    </row>
    <row r="14" customFormat="false" ht="15" hidden="false" customHeight="false" outlineLevel="0" collapsed="false">
      <c r="A14" s="5" t="s">
        <v>22</v>
      </c>
      <c r="B14" s="6" t="s">
        <v>23</v>
      </c>
    </row>
    <row r="15" customFormat="false" ht="15" hidden="false" customHeight="false" outlineLevel="0" collapsed="false">
      <c r="A15" s="5" t="s">
        <v>24</v>
      </c>
      <c r="B15" s="6" t="s">
        <v>25</v>
      </c>
    </row>
    <row r="16" customFormat="false" ht="26.85" hidden="false" customHeight="false" outlineLevel="0" collapsed="false">
      <c r="A16" s="5" t="s">
        <v>26</v>
      </c>
      <c r="B16" s="6" t="s">
        <v>27</v>
      </c>
    </row>
    <row r="17" customFormat="false" ht="15" hidden="false" customHeight="false" outlineLevel="0" collapsed="false">
      <c r="A17" s="5" t="s">
        <v>28</v>
      </c>
      <c r="B17" s="6" t="s">
        <v>29</v>
      </c>
    </row>
    <row r="18" customFormat="false" ht="15" hidden="false" customHeight="false" outlineLevel="0" collapsed="false">
      <c r="A18" s="5"/>
      <c r="B18" s="6"/>
    </row>
    <row r="19" customFormat="false" ht="15" hidden="false" customHeight="false" outlineLevel="0" collapsed="false">
      <c r="A19" s="3" t="s">
        <v>30</v>
      </c>
      <c r="B19" s="6" t="s">
        <v>31</v>
      </c>
    </row>
    <row r="20" customFormat="false" ht="26.85" hidden="false" customHeight="false" outlineLevel="0" collapsed="false">
      <c r="A20" s="3" t="s">
        <v>32</v>
      </c>
      <c r="B20" s="6" t="s">
        <v>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8"/>
    <col collapsed="false" customWidth="true" hidden="false" outlineLevel="0" max="3" min="3" style="0" width="16"/>
    <col collapsed="false" customWidth="true" hidden="false" outlineLevel="0" max="4" min="4" style="0" width="60"/>
  </cols>
  <sheetData>
    <row r="1" customFormat="false" ht="17.35" hidden="false" customHeight="false" outlineLevel="0" collapsed="false">
      <c r="A1" s="1" t="s">
        <v>4</v>
      </c>
    </row>
    <row r="2" customFormat="false" ht="15" hidden="false" customHeight="false" outlineLevel="0" collapsed="false">
      <c r="A2" s="2" t="s">
        <v>34</v>
      </c>
    </row>
    <row r="4" customFormat="false" ht="15" hidden="false" customHeight="false" outlineLevel="0" collapsed="false">
      <c r="A4" s="7" t="s">
        <v>35</v>
      </c>
      <c r="B4" s="7" t="s">
        <v>36</v>
      </c>
      <c r="C4" s="7" t="s">
        <v>37</v>
      </c>
    </row>
    <row r="5" customFormat="false" ht="15" hidden="false" customHeight="false" outlineLevel="0" collapsed="false">
      <c r="A5" s="5" t="s">
        <v>38</v>
      </c>
      <c r="B5" s="5" t="s">
        <v>39</v>
      </c>
      <c r="C5" s="8" t="n">
        <v>280</v>
      </c>
    </row>
    <row r="6" customFormat="false" ht="15" hidden="false" customHeight="false" outlineLevel="0" collapsed="false">
      <c r="A6" s="5" t="s">
        <v>40</v>
      </c>
      <c r="B6" s="5" t="s">
        <v>41</v>
      </c>
      <c r="C6" s="8" t="n">
        <v>230</v>
      </c>
    </row>
    <row r="7" customFormat="false" ht="15" hidden="false" customHeight="false" outlineLevel="0" collapsed="false">
      <c r="A7" s="5" t="s">
        <v>42</v>
      </c>
      <c r="B7" s="5" t="s">
        <v>43</v>
      </c>
      <c r="C7" s="8" t="n">
        <v>180</v>
      </c>
    </row>
    <row r="8" customFormat="false" ht="15" hidden="false" customHeight="false" outlineLevel="0" collapsed="false">
      <c r="A8" s="5" t="s">
        <v>44</v>
      </c>
      <c r="B8" s="5" t="s">
        <v>45</v>
      </c>
      <c r="C8" s="8" t="n">
        <v>180</v>
      </c>
    </row>
    <row r="9" customFormat="false" ht="15" hidden="false" customHeight="false" outlineLevel="0" collapsed="false">
      <c r="A9" s="5" t="s">
        <v>46</v>
      </c>
      <c r="B9" s="5" t="s">
        <v>47</v>
      </c>
      <c r="C9" s="8" t="n">
        <v>135</v>
      </c>
    </row>
    <row r="10" customFormat="false" ht="15" hidden="false" customHeight="false" outlineLevel="0" collapsed="false">
      <c r="A10" s="5" t="s">
        <v>48</v>
      </c>
      <c r="B10" s="5" t="s">
        <v>49</v>
      </c>
      <c r="C10" s="8" t="n">
        <v>135</v>
      </c>
    </row>
    <row r="11" customFormat="false" ht="15" hidden="false" customHeight="false" outlineLevel="0" collapsed="false">
      <c r="A11" s="5" t="s">
        <v>50</v>
      </c>
      <c r="B11" s="5" t="s">
        <v>51</v>
      </c>
      <c r="C11" s="8" t="n">
        <v>135</v>
      </c>
    </row>
    <row r="12" customFormat="false" ht="15" hidden="false" customHeight="false" outlineLevel="0" collapsed="false">
      <c r="A12" s="5" t="s">
        <v>52</v>
      </c>
      <c r="B12" s="5" t="s">
        <v>53</v>
      </c>
      <c r="C12" s="8" t="n">
        <v>120</v>
      </c>
    </row>
    <row r="13" customFormat="false" ht="15" hidden="false" customHeight="false" outlineLevel="0" collapsed="false">
      <c r="A13" s="5" t="s">
        <v>54</v>
      </c>
      <c r="B13" s="5" t="s">
        <v>55</v>
      </c>
      <c r="C13" s="8" t="n">
        <v>180</v>
      </c>
    </row>
    <row r="15" customFormat="false" ht="15" hidden="false" customHeight="false" outlineLevel="0" collapsed="false">
      <c r="A15" s="3" t="s">
        <v>56</v>
      </c>
    </row>
    <row r="16" customFormat="false" ht="15" hidden="false" customHeight="false" outlineLevel="0" collapsed="false">
      <c r="A16" s="9" t="n">
        <v>46380</v>
      </c>
      <c r="B16" s="2" t="s">
        <v>57</v>
      </c>
    </row>
    <row r="17" customFormat="false" ht="15" hidden="false" customHeight="false" outlineLevel="0" collapsed="false">
      <c r="A17" s="9" t="n">
        <v>46381</v>
      </c>
    </row>
    <row r="18" customFormat="false" ht="15" hidden="false" customHeight="false" outlineLevel="0" collapsed="false">
      <c r="A18" s="9" t="n">
        <v>46387</v>
      </c>
    </row>
    <row r="19" customFormat="false" ht="15" hidden="false" customHeight="false" outlineLevel="0" collapsed="false">
      <c r="A19" s="9" t="n">
        <v>46388</v>
      </c>
    </row>
    <row r="21" customFormat="false" ht="15" hidden="false" customHeight="false" outlineLevel="0" collapsed="false">
      <c r="A21" s="3" t="s">
        <v>58</v>
      </c>
    </row>
    <row r="22" customFormat="false" ht="15" hidden="false" customHeight="false" outlineLevel="0" collapsed="false">
      <c r="B22" s="5" t="s">
        <v>59</v>
      </c>
      <c r="C22" s="10" t="n">
        <f aca="false">'Hosting Bill'!G40-'Hosting Bill'!G37</f>
        <v>370.936</v>
      </c>
      <c r="D22" s="5" t="s">
        <v>60</v>
      </c>
    </row>
    <row r="23" customFormat="false" ht="15" hidden="false" customHeight="false" outlineLevel="0" collapsed="false">
      <c r="B23" s="5" t="s">
        <v>61</v>
      </c>
      <c r="C23" s="10" t="n">
        <f aca="false">'Hosting Bill'!G37</f>
        <v>4.064</v>
      </c>
      <c r="D23" s="5" t="s">
        <v>62</v>
      </c>
    </row>
    <row r="24" customFormat="false" ht="15" hidden="false" customHeight="false" outlineLevel="0" collapsed="false">
      <c r="B24" s="5" t="s">
        <v>63</v>
      </c>
      <c r="C24" s="8" t="n">
        <v>3000</v>
      </c>
      <c r="D24" s="5" t="s">
        <v>64</v>
      </c>
    </row>
    <row r="25" customFormat="false" ht="15" hidden="false" customHeight="false" outlineLevel="0" collapsed="false">
      <c r="B25" s="5" t="s">
        <v>65</v>
      </c>
      <c r="C25" s="8" t="n">
        <v>3000</v>
      </c>
      <c r="D25" s="5" t="s">
        <v>66</v>
      </c>
    </row>
    <row r="26" customFormat="false" ht="15" hidden="false" customHeight="false" outlineLevel="0" collapsed="false">
      <c r="B26" s="5" t="s">
        <v>67</v>
      </c>
      <c r="C26" s="8" t="n">
        <v>0</v>
      </c>
      <c r="D26" s="5" t="s">
        <v>68</v>
      </c>
    </row>
    <row r="27" customFormat="false" ht="15" hidden="false" customHeight="false" outlineLevel="0" collapsed="false">
      <c r="B27" s="5" t="s">
        <v>69</v>
      </c>
      <c r="C27" s="11" t="n">
        <v>0.03</v>
      </c>
      <c r="D27" s="5" t="s">
        <v>70</v>
      </c>
    </row>
    <row r="28" customFormat="false" ht="15" hidden="false" customHeight="false" outlineLevel="0" collapsed="false">
      <c r="B28" s="5" t="s">
        <v>71</v>
      </c>
      <c r="C28" s="12" t="n">
        <v>35</v>
      </c>
      <c r="D28" s="5" t="s">
        <v>72</v>
      </c>
    </row>
    <row r="29" customFormat="false" ht="15" hidden="false" customHeight="false" outlineLevel="0" collapsed="false">
      <c r="B29" s="5" t="s">
        <v>73</v>
      </c>
      <c r="C29" s="8" t="n">
        <v>4500</v>
      </c>
      <c r="D29" s="5" t="s">
        <v>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4"/>
    <col collapsed="false" customWidth="true" hidden="false" outlineLevel="0" max="3" min="3" style="0" width="60"/>
    <col collapsed="false" customWidth="true" hidden="false" outlineLevel="0" max="4" min="4" style="0" width="9"/>
    <col collapsed="false" customWidth="true" hidden="false" outlineLevel="0" max="5" min="5" style="0" width="18"/>
    <col collapsed="false" customWidth="true" hidden="false" outlineLevel="0" max="6" min="6" style="0" width="15"/>
    <col collapsed="false" customWidth="true" hidden="false" outlineLevel="0" max="7" min="7" style="0" width="26"/>
    <col collapsed="false" customWidth="true" hidden="false" outlineLevel="0" max="8" min="8" style="0" width="12"/>
    <col collapsed="false" customWidth="true" hidden="false" outlineLevel="0" max="9" min="9" style="0" width="70"/>
    <col collapsed="false" customWidth="true" hidden="false" outlineLevel="0" max="10" min="10" style="0" width="10"/>
  </cols>
  <sheetData>
    <row r="1" customFormat="false" ht="17.35" hidden="false" customHeight="false" outlineLevel="0" collapsed="false">
      <c r="A1" s="1" t="s">
        <v>75</v>
      </c>
    </row>
    <row r="2" customFormat="false" ht="15" hidden="false" customHeight="false" outlineLevel="0" collapsed="false">
      <c r="A2" s="2" t="s">
        <v>76</v>
      </c>
    </row>
    <row r="4" customFormat="false" ht="52.2" hidden="false" customHeight="false" outlineLevel="0" collapsed="false">
      <c r="A4" s="7" t="s">
        <v>77</v>
      </c>
      <c r="B4" s="7" t="s">
        <v>78</v>
      </c>
      <c r="C4" s="7" t="s">
        <v>79</v>
      </c>
      <c r="D4" s="7" t="s">
        <v>80</v>
      </c>
      <c r="E4" s="7" t="s">
        <v>81</v>
      </c>
      <c r="F4" s="7" t="s">
        <v>82</v>
      </c>
      <c r="G4" s="7" t="s">
        <v>83</v>
      </c>
      <c r="H4" s="7" t="s">
        <v>84</v>
      </c>
      <c r="I4" s="7" t="s">
        <v>85</v>
      </c>
      <c r="J4" s="7" t="s">
        <v>86</v>
      </c>
    </row>
    <row r="5" customFormat="false" ht="39.55" hidden="false" customHeight="false" outlineLevel="0" collapsed="false">
      <c r="A5" s="13" t="s">
        <v>87</v>
      </c>
      <c r="B5" s="13" t="s">
        <v>88</v>
      </c>
      <c r="C5" s="13" t="s">
        <v>89</v>
      </c>
      <c r="D5" s="13" t="s">
        <v>90</v>
      </c>
      <c r="E5" s="13" t="s">
        <v>91</v>
      </c>
      <c r="F5" s="14" t="s">
        <v>92</v>
      </c>
      <c r="G5" s="13" t="s">
        <v>93</v>
      </c>
      <c r="H5" s="15" t="n">
        <v>4</v>
      </c>
      <c r="I5" s="13" t="s">
        <v>94</v>
      </c>
      <c r="J5" s="14" t="s">
        <v>95</v>
      </c>
    </row>
    <row r="6" customFormat="false" ht="26.85" hidden="false" customHeight="false" outlineLevel="0" collapsed="false">
      <c r="A6" s="13" t="s">
        <v>96</v>
      </c>
      <c r="B6" s="13" t="s">
        <v>88</v>
      </c>
      <c r="C6" s="13" t="s">
        <v>97</v>
      </c>
      <c r="D6" s="13" t="s">
        <v>98</v>
      </c>
      <c r="E6" s="13" t="s">
        <v>99</v>
      </c>
      <c r="F6" s="14" t="s">
        <v>100</v>
      </c>
      <c r="G6" s="13" t="s">
        <v>101</v>
      </c>
      <c r="H6" s="15" t="n">
        <v>11</v>
      </c>
      <c r="I6" s="13" t="s">
        <v>102</v>
      </c>
      <c r="J6" s="14" t="s">
        <v>95</v>
      </c>
    </row>
    <row r="7" customFormat="false" ht="64.9" hidden="false" customHeight="false" outlineLevel="0" collapsed="false">
      <c r="A7" s="13" t="s">
        <v>103</v>
      </c>
      <c r="B7" s="13" t="s">
        <v>88</v>
      </c>
      <c r="C7" s="13" t="s">
        <v>104</v>
      </c>
      <c r="D7" s="13" t="s">
        <v>90</v>
      </c>
      <c r="E7" s="13" t="s">
        <v>91</v>
      </c>
      <c r="F7" s="14" t="s">
        <v>100</v>
      </c>
      <c r="G7" s="13" t="s">
        <v>105</v>
      </c>
      <c r="H7" s="15" t="n">
        <v>8</v>
      </c>
      <c r="I7" s="13" t="s">
        <v>106</v>
      </c>
      <c r="J7" s="14" t="s">
        <v>95</v>
      </c>
    </row>
    <row r="8" customFormat="false" ht="52.2" hidden="false" customHeight="false" outlineLevel="0" collapsed="false">
      <c r="A8" s="13" t="s">
        <v>107</v>
      </c>
      <c r="B8" s="13" t="s">
        <v>88</v>
      </c>
      <c r="C8" s="13" t="s">
        <v>108</v>
      </c>
      <c r="D8" s="13" t="s">
        <v>90</v>
      </c>
      <c r="E8" s="13" t="s">
        <v>91</v>
      </c>
      <c r="F8" s="14" t="s">
        <v>100</v>
      </c>
      <c r="G8" s="13" t="s">
        <v>109</v>
      </c>
      <c r="H8" s="15" t="n">
        <v>17.5</v>
      </c>
      <c r="I8" s="13" t="s">
        <v>110</v>
      </c>
      <c r="J8" s="14" t="s">
        <v>95</v>
      </c>
    </row>
    <row r="9" customFormat="false" ht="64.9" hidden="false" customHeight="false" outlineLevel="0" collapsed="false">
      <c r="A9" s="13" t="s">
        <v>111</v>
      </c>
      <c r="B9" s="13" t="s">
        <v>88</v>
      </c>
      <c r="C9" s="13" t="s">
        <v>112</v>
      </c>
      <c r="D9" s="13" t="s">
        <v>90</v>
      </c>
      <c r="E9" s="13" t="s">
        <v>91</v>
      </c>
      <c r="F9" s="14" t="s">
        <v>92</v>
      </c>
      <c r="G9" s="13" t="s">
        <v>113</v>
      </c>
      <c r="H9" s="15" t="n">
        <v>2.5</v>
      </c>
      <c r="I9" s="13" t="s">
        <v>114</v>
      </c>
      <c r="J9" s="14" t="s">
        <v>95</v>
      </c>
    </row>
    <row r="10" customFormat="false" ht="26.85" hidden="false" customHeight="false" outlineLevel="0" collapsed="false">
      <c r="A10" s="13" t="s">
        <v>115</v>
      </c>
      <c r="B10" s="13" t="s">
        <v>88</v>
      </c>
      <c r="C10" s="13" t="s">
        <v>116</v>
      </c>
      <c r="D10" s="13" t="s">
        <v>90</v>
      </c>
      <c r="E10" s="13" t="s">
        <v>91</v>
      </c>
      <c r="F10" s="14" t="s">
        <v>92</v>
      </c>
      <c r="G10" s="13" t="s">
        <v>117</v>
      </c>
      <c r="H10" s="15" t="n">
        <v>2</v>
      </c>
      <c r="I10" s="13" t="s">
        <v>118</v>
      </c>
      <c r="J10" s="14" t="s">
        <v>95</v>
      </c>
    </row>
    <row r="11" customFormat="false" ht="115.65" hidden="false" customHeight="false" outlineLevel="0" collapsed="false">
      <c r="A11" s="13" t="s">
        <v>119</v>
      </c>
      <c r="B11" s="13" t="s">
        <v>88</v>
      </c>
      <c r="C11" s="13" t="s">
        <v>120</v>
      </c>
      <c r="D11" s="13" t="s">
        <v>90</v>
      </c>
      <c r="E11" s="13" t="s">
        <v>91</v>
      </c>
      <c r="F11" s="14" t="s">
        <v>100</v>
      </c>
      <c r="G11" s="13" t="s">
        <v>121</v>
      </c>
      <c r="H11" s="15" t="n">
        <v>16</v>
      </c>
      <c r="I11" s="13" t="s">
        <v>122</v>
      </c>
      <c r="J11" s="14" t="s">
        <v>95</v>
      </c>
    </row>
    <row r="12" customFormat="false" ht="77.6" hidden="false" customHeight="false" outlineLevel="0" collapsed="false">
      <c r="A12" s="13" t="s">
        <v>123</v>
      </c>
      <c r="B12" s="13" t="s">
        <v>88</v>
      </c>
      <c r="C12" s="13" t="s">
        <v>124</v>
      </c>
      <c r="D12" s="13" t="s">
        <v>90</v>
      </c>
      <c r="E12" s="13" t="s">
        <v>91</v>
      </c>
      <c r="F12" s="14" t="s">
        <v>100</v>
      </c>
      <c r="G12" s="13" t="s">
        <v>125</v>
      </c>
      <c r="H12" s="15" t="n">
        <v>9.5</v>
      </c>
      <c r="I12" s="13" t="s">
        <v>126</v>
      </c>
      <c r="J12" s="14" t="s">
        <v>95</v>
      </c>
    </row>
    <row r="13" customFormat="false" ht="77.6" hidden="false" customHeight="false" outlineLevel="0" collapsed="false">
      <c r="A13" s="13" t="s">
        <v>127</v>
      </c>
      <c r="B13" s="13" t="s">
        <v>88</v>
      </c>
      <c r="C13" s="13" t="s">
        <v>128</v>
      </c>
      <c r="D13" s="13" t="s">
        <v>90</v>
      </c>
      <c r="E13" s="13" t="s">
        <v>91</v>
      </c>
      <c r="F13" s="14" t="s">
        <v>92</v>
      </c>
      <c r="G13" s="13" t="s">
        <v>125</v>
      </c>
      <c r="H13" s="15" t="n">
        <v>3</v>
      </c>
      <c r="I13" s="13" t="s">
        <v>129</v>
      </c>
      <c r="J13" s="14" t="s">
        <v>95</v>
      </c>
    </row>
    <row r="14" customFormat="false" ht="52.2" hidden="false" customHeight="false" outlineLevel="0" collapsed="false">
      <c r="A14" s="13" t="s">
        <v>130</v>
      </c>
      <c r="B14" s="13" t="s">
        <v>88</v>
      </c>
      <c r="C14" s="13" t="s">
        <v>131</v>
      </c>
      <c r="D14" s="13" t="s">
        <v>90</v>
      </c>
      <c r="E14" s="13" t="s">
        <v>91</v>
      </c>
      <c r="F14" s="14" t="s">
        <v>100</v>
      </c>
      <c r="G14" s="13" t="s">
        <v>132</v>
      </c>
      <c r="H14" s="15" t="n">
        <v>5</v>
      </c>
      <c r="I14" s="13" t="s">
        <v>133</v>
      </c>
      <c r="J14" s="14" t="s">
        <v>95</v>
      </c>
    </row>
    <row r="15" customFormat="false" ht="39.55" hidden="false" customHeight="false" outlineLevel="0" collapsed="false">
      <c r="A15" s="13" t="s">
        <v>134</v>
      </c>
      <c r="B15" s="13" t="s">
        <v>88</v>
      </c>
      <c r="C15" s="13" t="s">
        <v>135</v>
      </c>
      <c r="D15" s="13" t="s">
        <v>98</v>
      </c>
      <c r="E15" s="13" t="s">
        <v>99</v>
      </c>
      <c r="F15" s="14" t="s">
        <v>92</v>
      </c>
      <c r="G15" s="13" t="s">
        <v>136</v>
      </c>
      <c r="H15" s="15" t="n">
        <v>5</v>
      </c>
      <c r="I15" s="13" t="s">
        <v>137</v>
      </c>
      <c r="J15" s="14" t="s">
        <v>95</v>
      </c>
    </row>
    <row r="16" customFormat="false" ht="26.85" hidden="false" customHeight="false" outlineLevel="0" collapsed="false">
      <c r="A16" s="13" t="s">
        <v>138</v>
      </c>
      <c r="B16" s="13" t="s">
        <v>88</v>
      </c>
      <c r="C16" s="13" t="s">
        <v>139</v>
      </c>
      <c r="D16" s="13" t="s">
        <v>98</v>
      </c>
      <c r="E16" s="13" t="s">
        <v>99</v>
      </c>
      <c r="F16" s="14" t="s">
        <v>92</v>
      </c>
      <c r="G16" s="13" t="s">
        <v>140</v>
      </c>
      <c r="H16" s="15" t="n">
        <v>4</v>
      </c>
      <c r="I16" s="13" t="s">
        <v>141</v>
      </c>
      <c r="J16" s="14" t="s">
        <v>95</v>
      </c>
    </row>
    <row r="17" customFormat="false" ht="52.2" hidden="false" customHeight="false" outlineLevel="0" collapsed="false">
      <c r="A17" s="13" t="s">
        <v>142</v>
      </c>
      <c r="B17" s="13" t="s">
        <v>88</v>
      </c>
      <c r="C17" s="13" t="s">
        <v>143</v>
      </c>
      <c r="D17" s="13" t="s">
        <v>90</v>
      </c>
      <c r="E17" s="13" t="s">
        <v>91</v>
      </c>
      <c r="F17" s="14" t="s">
        <v>92</v>
      </c>
      <c r="G17" s="13" t="s">
        <v>144</v>
      </c>
      <c r="H17" s="15" t="n">
        <v>2.5</v>
      </c>
      <c r="I17" s="13" t="s">
        <v>145</v>
      </c>
      <c r="J17" s="14" t="s">
        <v>95</v>
      </c>
    </row>
    <row r="18" customFormat="false" ht="39.55" hidden="false" customHeight="false" outlineLevel="0" collapsed="false">
      <c r="A18" s="13" t="s">
        <v>146</v>
      </c>
      <c r="B18" s="13" t="s">
        <v>88</v>
      </c>
      <c r="C18" s="13" t="s">
        <v>147</v>
      </c>
      <c r="D18" s="13" t="s">
        <v>90</v>
      </c>
      <c r="E18" s="13" t="s">
        <v>91</v>
      </c>
      <c r="F18" s="14" t="s">
        <v>92</v>
      </c>
      <c r="G18" s="13" t="s">
        <v>148</v>
      </c>
      <c r="H18" s="15" t="n">
        <v>2</v>
      </c>
      <c r="I18" s="13" t="s">
        <v>149</v>
      </c>
      <c r="J18" s="14" t="s">
        <v>95</v>
      </c>
    </row>
    <row r="19" customFormat="false" ht="52.2" hidden="false" customHeight="false" outlineLevel="0" collapsed="false">
      <c r="A19" s="13" t="s">
        <v>150</v>
      </c>
      <c r="B19" s="13" t="s">
        <v>88</v>
      </c>
      <c r="C19" s="13" t="s">
        <v>151</v>
      </c>
      <c r="D19" s="13" t="s">
        <v>90</v>
      </c>
      <c r="E19" s="13" t="s">
        <v>91</v>
      </c>
      <c r="F19" s="14" t="s">
        <v>100</v>
      </c>
      <c r="G19" s="13" t="s">
        <v>152</v>
      </c>
      <c r="H19" s="15" t="n">
        <v>5</v>
      </c>
      <c r="I19" s="13" t="s">
        <v>153</v>
      </c>
      <c r="J19" s="14" t="s">
        <v>95</v>
      </c>
    </row>
    <row r="20" customFormat="false" ht="64.9" hidden="false" customHeight="false" outlineLevel="0" collapsed="false">
      <c r="A20" s="13" t="s">
        <v>154</v>
      </c>
      <c r="B20" s="13" t="s">
        <v>88</v>
      </c>
      <c r="C20" s="13" t="s">
        <v>155</v>
      </c>
      <c r="D20" s="13" t="s">
        <v>98</v>
      </c>
      <c r="E20" s="13" t="s">
        <v>99</v>
      </c>
      <c r="F20" s="14" t="s">
        <v>100</v>
      </c>
      <c r="G20" s="13" t="s">
        <v>101</v>
      </c>
      <c r="H20" s="15" t="n">
        <v>8</v>
      </c>
      <c r="I20" s="13" t="s">
        <v>156</v>
      </c>
      <c r="J20" s="14" t="s">
        <v>95</v>
      </c>
    </row>
    <row r="21" customFormat="false" ht="39.55" hidden="false" customHeight="false" outlineLevel="0" collapsed="false">
      <c r="A21" s="13" t="s">
        <v>157</v>
      </c>
      <c r="B21" s="13" t="s">
        <v>88</v>
      </c>
      <c r="C21" s="13" t="s">
        <v>158</v>
      </c>
      <c r="D21" s="13" t="s">
        <v>98</v>
      </c>
      <c r="E21" s="13" t="s">
        <v>99</v>
      </c>
      <c r="F21" s="14" t="s">
        <v>92</v>
      </c>
      <c r="G21" s="13" t="s">
        <v>132</v>
      </c>
      <c r="H21" s="15" t="n">
        <v>3</v>
      </c>
      <c r="I21" s="13" t="s">
        <v>159</v>
      </c>
      <c r="J21" s="14" t="s">
        <v>95</v>
      </c>
    </row>
    <row r="22" customFormat="false" ht="39.55" hidden="false" customHeight="false" outlineLevel="0" collapsed="false">
      <c r="A22" s="13" t="s">
        <v>160</v>
      </c>
      <c r="B22" s="13" t="s">
        <v>88</v>
      </c>
      <c r="C22" s="13" t="s">
        <v>161</v>
      </c>
      <c r="D22" s="13" t="s">
        <v>98</v>
      </c>
      <c r="E22" s="13" t="s">
        <v>99</v>
      </c>
      <c r="F22" s="14" t="s">
        <v>92</v>
      </c>
      <c r="G22" s="13" t="s">
        <v>162</v>
      </c>
      <c r="H22" s="15" t="n">
        <v>4</v>
      </c>
      <c r="I22" s="13" t="s">
        <v>163</v>
      </c>
      <c r="J22" s="14" t="s">
        <v>95</v>
      </c>
    </row>
    <row r="23" customFormat="false" ht="64.9" hidden="false" customHeight="false" outlineLevel="0" collapsed="false">
      <c r="A23" s="13" t="s">
        <v>164</v>
      </c>
      <c r="B23" s="13" t="s">
        <v>88</v>
      </c>
      <c r="C23" s="13" t="s">
        <v>165</v>
      </c>
      <c r="D23" s="13" t="s">
        <v>98</v>
      </c>
      <c r="E23" s="13" t="s">
        <v>99</v>
      </c>
      <c r="F23" s="14" t="s">
        <v>100</v>
      </c>
      <c r="G23" s="13" t="s">
        <v>166</v>
      </c>
      <c r="H23" s="15" t="n">
        <v>11</v>
      </c>
      <c r="I23" s="13" t="s">
        <v>167</v>
      </c>
      <c r="J23" s="14" t="s">
        <v>168</v>
      </c>
    </row>
    <row r="24" customFormat="false" ht="102.95" hidden="false" customHeight="false" outlineLevel="0" collapsed="false">
      <c r="A24" s="13" t="s">
        <v>169</v>
      </c>
      <c r="B24" s="13" t="s">
        <v>170</v>
      </c>
      <c r="C24" s="13" t="s">
        <v>171</v>
      </c>
      <c r="D24" s="13" t="s">
        <v>90</v>
      </c>
      <c r="E24" s="13" t="s">
        <v>91</v>
      </c>
      <c r="F24" s="14" t="s">
        <v>100</v>
      </c>
      <c r="G24" s="13" t="s">
        <v>172</v>
      </c>
      <c r="H24" s="15" t="n">
        <v>11</v>
      </c>
      <c r="I24" s="13" t="s">
        <v>173</v>
      </c>
      <c r="J24" s="14" t="s">
        <v>95</v>
      </c>
    </row>
    <row r="25" customFormat="false" ht="39.55" hidden="false" customHeight="false" outlineLevel="0" collapsed="false">
      <c r="A25" s="13" t="s">
        <v>174</v>
      </c>
      <c r="B25" s="13" t="s">
        <v>170</v>
      </c>
      <c r="C25" s="13" t="s">
        <v>175</v>
      </c>
      <c r="D25" s="13" t="s">
        <v>90</v>
      </c>
      <c r="E25" s="13" t="s">
        <v>91</v>
      </c>
      <c r="F25" s="14" t="s">
        <v>100</v>
      </c>
      <c r="G25" s="13" t="s">
        <v>176</v>
      </c>
      <c r="H25" s="15" t="n">
        <v>12</v>
      </c>
      <c r="I25" s="13" t="s">
        <v>177</v>
      </c>
      <c r="J25" s="14" t="s">
        <v>95</v>
      </c>
    </row>
    <row r="26" customFormat="false" ht="26.85" hidden="false" customHeight="false" outlineLevel="0" collapsed="false">
      <c r="A26" s="13" t="s">
        <v>178</v>
      </c>
      <c r="B26" s="13" t="s">
        <v>170</v>
      </c>
      <c r="C26" s="13" t="s">
        <v>179</v>
      </c>
      <c r="D26" s="13" t="s">
        <v>90</v>
      </c>
      <c r="E26" s="13" t="s">
        <v>91</v>
      </c>
      <c r="F26" s="14" t="s">
        <v>92</v>
      </c>
      <c r="G26" s="13" t="s">
        <v>176</v>
      </c>
      <c r="H26" s="15" t="n">
        <v>3</v>
      </c>
      <c r="I26" s="13" t="s">
        <v>180</v>
      </c>
      <c r="J26" s="14" t="s">
        <v>95</v>
      </c>
    </row>
    <row r="27" customFormat="false" ht="64.9" hidden="false" customHeight="false" outlineLevel="0" collapsed="false">
      <c r="A27" s="13" t="s">
        <v>181</v>
      </c>
      <c r="B27" s="13" t="s">
        <v>170</v>
      </c>
      <c r="C27" s="13" t="s">
        <v>182</v>
      </c>
      <c r="D27" s="13" t="s">
        <v>90</v>
      </c>
      <c r="E27" s="13" t="s">
        <v>91</v>
      </c>
      <c r="F27" s="14" t="s">
        <v>92</v>
      </c>
      <c r="G27" s="13" t="s">
        <v>183</v>
      </c>
      <c r="H27" s="15" t="n">
        <v>5</v>
      </c>
      <c r="I27" s="13" t="s">
        <v>184</v>
      </c>
      <c r="J27" s="14" t="s">
        <v>95</v>
      </c>
    </row>
    <row r="28" customFormat="false" ht="64.9" hidden="false" customHeight="false" outlineLevel="0" collapsed="false">
      <c r="A28" s="13" t="s">
        <v>185</v>
      </c>
      <c r="B28" s="13" t="s">
        <v>170</v>
      </c>
      <c r="C28" s="13" t="s">
        <v>186</v>
      </c>
      <c r="D28" s="13" t="s">
        <v>90</v>
      </c>
      <c r="E28" s="13" t="s">
        <v>91</v>
      </c>
      <c r="F28" s="14" t="s">
        <v>92</v>
      </c>
      <c r="G28" s="13" t="s">
        <v>187</v>
      </c>
      <c r="H28" s="15" t="n">
        <v>5</v>
      </c>
      <c r="I28" s="13" t="s">
        <v>188</v>
      </c>
      <c r="J28" s="14" t="s">
        <v>95</v>
      </c>
    </row>
    <row r="29" customFormat="false" ht="64.9" hidden="false" customHeight="false" outlineLevel="0" collapsed="false">
      <c r="A29" s="13" t="s">
        <v>189</v>
      </c>
      <c r="B29" s="13" t="s">
        <v>170</v>
      </c>
      <c r="C29" s="13" t="s">
        <v>190</v>
      </c>
      <c r="D29" s="13" t="s">
        <v>90</v>
      </c>
      <c r="E29" s="13" t="s">
        <v>91</v>
      </c>
      <c r="F29" s="14" t="s">
        <v>100</v>
      </c>
      <c r="G29" s="13" t="s">
        <v>191</v>
      </c>
      <c r="H29" s="15" t="n">
        <v>13</v>
      </c>
      <c r="I29" s="13" t="s">
        <v>192</v>
      </c>
      <c r="J29" s="14" t="s">
        <v>95</v>
      </c>
    </row>
    <row r="30" customFormat="false" ht="26.85" hidden="false" customHeight="false" outlineLevel="0" collapsed="false">
      <c r="A30" s="13" t="s">
        <v>193</v>
      </c>
      <c r="B30" s="13" t="s">
        <v>170</v>
      </c>
      <c r="C30" s="13" t="s">
        <v>194</v>
      </c>
      <c r="D30" s="13" t="s">
        <v>90</v>
      </c>
      <c r="E30" s="13" t="s">
        <v>91</v>
      </c>
      <c r="F30" s="14" t="s">
        <v>92</v>
      </c>
      <c r="G30" s="13" t="s">
        <v>148</v>
      </c>
      <c r="H30" s="15" t="n">
        <v>3</v>
      </c>
      <c r="I30" s="13" t="s">
        <v>195</v>
      </c>
      <c r="J30" s="14" t="s">
        <v>95</v>
      </c>
    </row>
    <row r="31" customFormat="false" ht="26.85" hidden="false" customHeight="false" outlineLevel="0" collapsed="false">
      <c r="A31" s="13" t="s">
        <v>196</v>
      </c>
      <c r="B31" s="13" t="s">
        <v>170</v>
      </c>
      <c r="C31" s="13" t="s">
        <v>197</v>
      </c>
      <c r="D31" s="13" t="s">
        <v>90</v>
      </c>
      <c r="E31" s="13" t="s">
        <v>91</v>
      </c>
      <c r="F31" s="14" t="s">
        <v>92</v>
      </c>
      <c r="G31" s="13" t="s">
        <v>113</v>
      </c>
      <c r="H31" s="15" t="n">
        <v>2</v>
      </c>
      <c r="I31" s="13" t="s">
        <v>198</v>
      </c>
      <c r="J31" s="14" t="s">
        <v>95</v>
      </c>
    </row>
    <row r="32" customFormat="false" ht="26.85" hidden="false" customHeight="false" outlineLevel="0" collapsed="false">
      <c r="A32" s="13" t="s">
        <v>199</v>
      </c>
      <c r="B32" s="13" t="s">
        <v>170</v>
      </c>
      <c r="C32" s="13" t="s">
        <v>200</v>
      </c>
      <c r="D32" s="13" t="s">
        <v>98</v>
      </c>
      <c r="E32" s="13" t="s">
        <v>99</v>
      </c>
      <c r="F32" s="14" t="s">
        <v>92</v>
      </c>
      <c r="G32" s="13" t="s">
        <v>187</v>
      </c>
      <c r="H32" s="15" t="n">
        <v>4</v>
      </c>
      <c r="I32" s="13" t="s">
        <v>201</v>
      </c>
      <c r="J32" s="14" t="s">
        <v>95</v>
      </c>
    </row>
    <row r="33" customFormat="false" ht="39.55" hidden="false" customHeight="false" outlineLevel="0" collapsed="false">
      <c r="A33" s="13" t="s">
        <v>202</v>
      </c>
      <c r="B33" s="13" t="s">
        <v>170</v>
      </c>
      <c r="C33" s="13" t="s">
        <v>203</v>
      </c>
      <c r="D33" s="13" t="s">
        <v>98</v>
      </c>
      <c r="E33" s="13" t="s">
        <v>99</v>
      </c>
      <c r="F33" s="14" t="s">
        <v>100</v>
      </c>
      <c r="G33" s="13" t="s">
        <v>204</v>
      </c>
      <c r="H33" s="15" t="n">
        <v>8</v>
      </c>
      <c r="I33" s="13" t="s">
        <v>205</v>
      </c>
      <c r="J33" s="14" t="s">
        <v>95</v>
      </c>
    </row>
    <row r="34" customFormat="false" ht="39.55" hidden="false" customHeight="false" outlineLevel="0" collapsed="false">
      <c r="A34" s="13" t="s">
        <v>206</v>
      </c>
      <c r="B34" s="13" t="s">
        <v>170</v>
      </c>
      <c r="C34" s="13" t="s">
        <v>207</v>
      </c>
      <c r="D34" s="13" t="s">
        <v>98</v>
      </c>
      <c r="E34" s="13" t="s">
        <v>99</v>
      </c>
      <c r="F34" s="14" t="s">
        <v>100</v>
      </c>
      <c r="G34" s="13" t="s">
        <v>208</v>
      </c>
      <c r="H34" s="15" t="n">
        <v>6.5</v>
      </c>
      <c r="I34" s="13" t="s">
        <v>209</v>
      </c>
      <c r="J34" s="14" t="s">
        <v>95</v>
      </c>
    </row>
    <row r="35" customFormat="false" ht="52.2" hidden="false" customHeight="false" outlineLevel="0" collapsed="false">
      <c r="A35" s="13" t="s">
        <v>210</v>
      </c>
      <c r="B35" s="13" t="s">
        <v>170</v>
      </c>
      <c r="C35" s="13" t="s">
        <v>211</v>
      </c>
      <c r="D35" s="13" t="s">
        <v>90</v>
      </c>
      <c r="E35" s="13" t="s">
        <v>91</v>
      </c>
      <c r="F35" s="14" t="s">
        <v>92</v>
      </c>
      <c r="G35" s="13" t="s">
        <v>191</v>
      </c>
      <c r="H35" s="15" t="n">
        <v>4</v>
      </c>
      <c r="I35" s="13" t="s">
        <v>212</v>
      </c>
      <c r="J35" s="14" t="s">
        <v>95</v>
      </c>
    </row>
    <row r="36" customFormat="false" ht="39.55" hidden="false" customHeight="false" outlineLevel="0" collapsed="false">
      <c r="A36" s="13" t="s">
        <v>213</v>
      </c>
      <c r="B36" s="13" t="s">
        <v>170</v>
      </c>
      <c r="C36" s="13" t="s">
        <v>214</v>
      </c>
      <c r="D36" s="13" t="s">
        <v>90</v>
      </c>
      <c r="E36" s="13" t="s">
        <v>91</v>
      </c>
      <c r="F36" s="14" t="s">
        <v>92</v>
      </c>
      <c r="G36" s="13" t="s">
        <v>215</v>
      </c>
      <c r="H36" s="15" t="n">
        <v>2.5</v>
      </c>
      <c r="I36" s="13" t="s">
        <v>216</v>
      </c>
      <c r="J36" s="14" t="s">
        <v>95</v>
      </c>
    </row>
    <row r="37" customFormat="false" ht="39.55" hidden="false" customHeight="false" outlineLevel="0" collapsed="false">
      <c r="A37" s="13" t="s">
        <v>217</v>
      </c>
      <c r="B37" s="13" t="s">
        <v>170</v>
      </c>
      <c r="C37" s="13" t="s">
        <v>218</v>
      </c>
      <c r="D37" s="13" t="s">
        <v>98</v>
      </c>
      <c r="E37" s="13" t="s">
        <v>99</v>
      </c>
      <c r="F37" s="14" t="s">
        <v>100</v>
      </c>
      <c r="G37" s="13" t="s">
        <v>187</v>
      </c>
      <c r="H37" s="15" t="n">
        <v>4</v>
      </c>
      <c r="I37" s="13" t="s">
        <v>219</v>
      </c>
      <c r="J37" s="14" t="s">
        <v>95</v>
      </c>
    </row>
    <row r="38" customFormat="false" ht="39.55" hidden="false" customHeight="false" outlineLevel="0" collapsed="false">
      <c r="A38" s="13" t="s">
        <v>220</v>
      </c>
      <c r="B38" s="13" t="s">
        <v>170</v>
      </c>
      <c r="C38" s="13" t="s">
        <v>221</v>
      </c>
      <c r="D38" s="13" t="s">
        <v>222</v>
      </c>
      <c r="E38" s="13" t="s">
        <v>223</v>
      </c>
      <c r="F38" s="14" t="s">
        <v>92</v>
      </c>
      <c r="G38" s="13" t="s">
        <v>224</v>
      </c>
      <c r="H38" s="15" t="n">
        <v>2.5</v>
      </c>
      <c r="I38" s="13" t="s">
        <v>225</v>
      </c>
      <c r="J38" s="14" t="s">
        <v>95</v>
      </c>
    </row>
    <row r="39" customFormat="false" ht="39.55" hidden="false" customHeight="false" outlineLevel="0" collapsed="false">
      <c r="A39" s="13" t="s">
        <v>226</v>
      </c>
      <c r="B39" s="13" t="s">
        <v>170</v>
      </c>
      <c r="C39" s="13" t="s">
        <v>227</v>
      </c>
      <c r="D39" s="13" t="s">
        <v>98</v>
      </c>
      <c r="E39" s="13" t="s">
        <v>99</v>
      </c>
      <c r="F39" s="14" t="s">
        <v>92</v>
      </c>
      <c r="G39" s="13" t="s">
        <v>228</v>
      </c>
      <c r="H39" s="15" t="n">
        <v>4</v>
      </c>
      <c r="I39" s="13" t="s">
        <v>229</v>
      </c>
      <c r="J39" s="14" t="s">
        <v>95</v>
      </c>
    </row>
    <row r="40" customFormat="false" ht="39.55" hidden="false" customHeight="false" outlineLevel="0" collapsed="false">
      <c r="A40" s="13" t="s">
        <v>230</v>
      </c>
      <c r="B40" s="13" t="s">
        <v>231</v>
      </c>
      <c r="C40" s="13" t="s">
        <v>232</v>
      </c>
      <c r="D40" s="13" t="s">
        <v>90</v>
      </c>
      <c r="E40" s="13" t="s">
        <v>91</v>
      </c>
      <c r="F40" s="14" t="s">
        <v>92</v>
      </c>
      <c r="G40" s="13" t="s">
        <v>233</v>
      </c>
      <c r="H40" s="15" t="n">
        <v>3</v>
      </c>
      <c r="I40" s="13" t="s">
        <v>234</v>
      </c>
      <c r="J40" s="14" t="s">
        <v>95</v>
      </c>
    </row>
    <row r="41" customFormat="false" ht="64.9" hidden="false" customHeight="false" outlineLevel="0" collapsed="false">
      <c r="A41" s="13" t="s">
        <v>235</v>
      </c>
      <c r="B41" s="13" t="s">
        <v>231</v>
      </c>
      <c r="C41" s="13" t="s">
        <v>236</v>
      </c>
      <c r="D41" s="13" t="s">
        <v>90</v>
      </c>
      <c r="E41" s="13" t="s">
        <v>91</v>
      </c>
      <c r="F41" s="14" t="s">
        <v>100</v>
      </c>
      <c r="G41" s="13" t="s">
        <v>237</v>
      </c>
      <c r="H41" s="15" t="n">
        <v>16</v>
      </c>
      <c r="I41" s="13" t="s">
        <v>238</v>
      </c>
      <c r="J41" s="14" t="s">
        <v>95</v>
      </c>
    </row>
    <row r="42" customFormat="false" ht="39.55" hidden="false" customHeight="false" outlineLevel="0" collapsed="false">
      <c r="A42" s="13" t="s">
        <v>239</v>
      </c>
      <c r="B42" s="13" t="s">
        <v>231</v>
      </c>
      <c r="C42" s="13" t="s">
        <v>240</v>
      </c>
      <c r="D42" s="13" t="s">
        <v>90</v>
      </c>
      <c r="E42" s="13" t="s">
        <v>91</v>
      </c>
      <c r="F42" s="14" t="s">
        <v>92</v>
      </c>
      <c r="G42" s="13" t="s">
        <v>237</v>
      </c>
      <c r="H42" s="15" t="n">
        <v>3</v>
      </c>
      <c r="I42" s="13" t="s">
        <v>241</v>
      </c>
      <c r="J42" s="14" t="s">
        <v>95</v>
      </c>
    </row>
    <row r="43" customFormat="false" ht="39.55" hidden="false" customHeight="false" outlineLevel="0" collapsed="false">
      <c r="A43" s="13" t="s">
        <v>242</v>
      </c>
      <c r="B43" s="13" t="s">
        <v>231</v>
      </c>
      <c r="C43" s="13" t="s">
        <v>243</v>
      </c>
      <c r="D43" s="13" t="s">
        <v>90</v>
      </c>
      <c r="E43" s="13" t="s">
        <v>91</v>
      </c>
      <c r="F43" s="14" t="s">
        <v>92</v>
      </c>
      <c r="G43" s="13" t="s">
        <v>244</v>
      </c>
      <c r="H43" s="15" t="n">
        <v>4</v>
      </c>
      <c r="I43" s="13" t="s">
        <v>245</v>
      </c>
      <c r="J43" s="14" t="s">
        <v>95</v>
      </c>
    </row>
    <row r="44" customFormat="false" ht="39.55" hidden="false" customHeight="false" outlineLevel="0" collapsed="false">
      <c r="A44" s="13" t="s">
        <v>246</v>
      </c>
      <c r="B44" s="13" t="s">
        <v>231</v>
      </c>
      <c r="C44" s="13" t="s">
        <v>247</v>
      </c>
      <c r="D44" s="13" t="s">
        <v>90</v>
      </c>
      <c r="E44" s="13" t="s">
        <v>91</v>
      </c>
      <c r="F44" s="14" t="s">
        <v>92</v>
      </c>
      <c r="G44" s="13" t="s">
        <v>148</v>
      </c>
      <c r="H44" s="15" t="n">
        <v>3</v>
      </c>
      <c r="I44" s="13" t="s">
        <v>248</v>
      </c>
      <c r="J44" s="14" t="s">
        <v>95</v>
      </c>
    </row>
    <row r="45" customFormat="false" ht="26.85" hidden="false" customHeight="false" outlineLevel="0" collapsed="false">
      <c r="A45" s="13" t="s">
        <v>249</v>
      </c>
      <c r="B45" s="13" t="s">
        <v>231</v>
      </c>
      <c r="C45" s="13" t="s">
        <v>250</v>
      </c>
      <c r="D45" s="13" t="s">
        <v>98</v>
      </c>
      <c r="E45" s="13" t="s">
        <v>99</v>
      </c>
      <c r="F45" s="14" t="s">
        <v>100</v>
      </c>
      <c r="G45" s="13" t="s">
        <v>251</v>
      </c>
      <c r="H45" s="15" t="n">
        <v>6.5</v>
      </c>
      <c r="I45" s="13" t="s">
        <v>252</v>
      </c>
      <c r="J45" s="14" t="s">
        <v>95</v>
      </c>
    </row>
    <row r="46" customFormat="false" ht="26.85" hidden="false" customHeight="false" outlineLevel="0" collapsed="false">
      <c r="A46" s="13" t="s">
        <v>253</v>
      </c>
      <c r="B46" s="13" t="s">
        <v>231</v>
      </c>
      <c r="C46" s="13" t="s">
        <v>254</v>
      </c>
      <c r="D46" s="13" t="s">
        <v>222</v>
      </c>
      <c r="E46" s="13" t="s">
        <v>223</v>
      </c>
      <c r="F46" s="14" t="s">
        <v>100</v>
      </c>
      <c r="G46" s="13" t="s">
        <v>233</v>
      </c>
      <c r="H46" s="15" t="n">
        <v>8</v>
      </c>
      <c r="I46" s="13" t="s">
        <v>255</v>
      </c>
      <c r="J46" s="14" t="s">
        <v>95</v>
      </c>
    </row>
    <row r="47" customFormat="false" ht="26.85" hidden="false" customHeight="false" outlineLevel="0" collapsed="false">
      <c r="A47" s="13" t="s">
        <v>256</v>
      </c>
      <c r="B47" s="13" t="s">
        <v>231</v>
      </c>
      <c r="C47" s="13" t="s">
        <v>257</v>
      </c>
      <c r="D47" s="13" t="s">
        <v>222</v>
      </c>
      <c r="E47" s="13" t="s">
        <v>223</v>
      </c>
      <c r="F47" s="14" t="s">
        <v>92</v>
      </c>
      <c r="G47" s="13" t="s">
        <v>233</v>
      </c>
      <c r="H47" s="15" t="n">
        <v>3</v>
      </c>
      <c r="I47" s="13" t="s">
        <v>258</v>
      </c>
      <c r="J47" s="14" t="s">
        <v>95</v>
      </c>
    </row>
    <row r="48" customFormat="false" ht="39.55" hidden="false" customHeight="false" outlineLevel="0" collapsed="false">
      <c r="A48" s="13" t="s">
        <v>259</v>
      </c>
      <c r="B48" s="13" t="s">
        <v>260</v>
      </c>
      <c r="C48" s="13" t="s">
        <v>261</v>
      </c>
      <c r="D48" s="13" t="s">
        <v>90</v>
      </c>
      <c r="E48" s="13" t="s">
        <v>91</v>
      </c>
      <c r="F48" s="14" t="s">
        <v>92</v>
      </c>
      <c r="G48" s="13" t="s">
        <v>262</v>
      </c>
      <c r="H48" s="15" t="n">
        <v>4</v>
      </c>
      <c r="I48" s="13" t="s">
        <v>263</v>
      </c>
      <c r="J48" s="14" t="s">
        <v>95</v>
      </c>
    </row>
    <row r="49" customFormat="false" ht="39.55" hidden="false" customHeight="false" outlineLevel="0" collapsed="false">
      <c r="A49" s="13" t="s">
        <v>264</v>
      </c>
      <c r="B49" s="13" t="s">
        <v>260</v>
      </c>
      <c r="C49" s="13" t="s">
        <v>265</v>
      </c>
      <c r="D49" s="13" t="s">
        <v>90</v>
      </c>
      <c r="E49" s="13" t="s">
        <v>91</v>
      </c>
      <c r="F49" s="14" t="s">
        <v>100</v>
      </c>
      <c r="G49" s="13" t="s">
        <v>266</v>
      </c>
      <c r="H49" s="15" t="n">
        <v>8</v>
      </c>
      <c r="I49" s="13" t="s">
        <v>267</v>
      </c>
      <c r="J49" s="14" t="s">
        <v>168</v>
      </c>
    </row>
    <row r="50" customFormat="false" ht="26.85" hidden="false" customHeight="false" outlineLevel="0" collapsed="false">
      <c r="A50" s="13" t="s">
        <v>268</v>
      </c>
      <c r="B50" s="13" t="s">
        <v>260</v>
      </c>
      <c r="C50" s="13" t="s">
        <v>269</v>
      </c>
      <c r="D50" s="13" t="s">
        <v>90</v>
      </c>
      <c r="E50" s="13" t="s">
        <v>91</v>
      </c>
      <c r="F50" s="14" t="s">
        <v>92</v>
      </c>
      <c r="G50" s="13" t="s">
        <v>262</v>
      </c>
      <c r="H50" s="15" t="n">
        <v>1.5</v>
      </c>
      <c r="I50" s="13" t="s">
        <v>270</v>
      </c>
      <c r="J50" s="14" t="s">
        <v>95</v>
      </c>
    </row>
    <row r="51" customFormat="false" ht="39.55" hidden="false" customHeight="false" outlineLevel="0" collapsed="false">
      <c r="A51" s="13" t="s">
        <v>271</v>
      </c>
      <c r="B51" s="13" t="s">
        <v>260</v>
      </c>
      <c r="C51" s="13" t="s">
        <v>272</v>
      </c>
      <c r="D51" s="13" t="s">
        <v>90</v>
      </c>
      <c r="E51" s="13" t="s">
        <v>91</v>
      </c>
      <c r="F51" s="14" t="s">
        <v>92</v>
      </c>
      <c r="G51" s="13" t="s">
        <v>273</v>
      </c>
      <c r="H51" s="15" t="n">
        <v>2.5</v>
      </c>
      <c r="I51" s="13" t="s">
        <v>274</v>
      </c>
      <c r="J51" s="14" t="s">
        <v>95</v>
      </c>
    </row>
    <row r="52" customFormat="false" ht="39.55" hidden="false" customHeight="false" outlineLevel="0" collapsed="false">
      <c r="A52" s="13" t="s">
        <v>275</v>
      </c>
      <c r="B52" s="13" t="s">
        <v>260</v>
      </c>
      <c r="C52" s="13" t="s">
        <v>276</v>
      </c>
      <c r="D52" s="13" t="s">
        <v>90</v>
      </c>
      <c r="E52" s="13" t="s">
        <v>91</v>
      </c>
      <c r="F52" s="14" t="s">
        <v>92</v>
      </c>
      <c r="G52" s="13" t="s">
        <v>277</v>
      </c>
      <c r="H52" s="15" t="n">
        <v>3</v>
      </c>
      <c r="I52" s="13" t="s">
        <v>278</v>
      </c>
      <c r="J52" s="14" t="s">
        <v>95</v>
      </c>
    </row>
    <row r="53" customFormat="false" ht="26.85" hidden="false" customHeight="false" outlineLevel="0" collapsed="false">
      <c r="A53" s="13" t="s">
        <v>279</v>
      </c>
      <c r="B53" s="13" t="s">
        <v>260</v>
      </c>
      <c r="C53" s="13" t="s">
        <v>280</v>
      </c>
      <c r="D53" s="13" t="s">
        <v>90</v>
      </c>
      <c r="E53" s="13" t="s">
        <v>91</v>
      </c>
      <c r="F53" s="14" t="s">
        <v>92</v>
      </c>
      <c r="G53" s="13" t="s">
        <v>148</v>
      </c>
      <c r="H53" s="15" t="n">
        <v>1.5</v>
      </c>
      <c r="I53" s="13" t="s">
        <v>281</v>
      </c>
      <c r="J53" s="14" t="s">
        <v>95</v>
      </c>
    </row>
    <row r="54" customFormat="false" ht="39.55" hidden="false" customHeight="false" outlineLevel="0" collapsed="false">
      <c r="A54" s="13" t="s">
        <v>282</v>
      </c>
      <c r="B54" s="13" t="s">
        <v>260</v>
      </c>
      <c r="C54" s="13" t="s">
        <v>283</v>
      </c>
      <c r="D54" s="13" t="s">
        <v>90</v>
      </c>
      <c r="E54" s="13" t="s">
        <v>91</v>
      </c>
      <c r="F54" s="14" t="s">
        <v>92</v>
      </c>
      <c r="G54" s="13" t="s">
        <v>273</v>
      </c>
      <c r="H54" s="15" t="n">
        <v>2.5</v>
      </c>
      <c r="I54" s="13" t="s">
        <v>284</v>
      </c>
      <c r="J54" s="14" t="s">
        <v>95</v>
      </c>
    </row>
    <row r="55" customFormat="false" ht="26.85" hidden="false" customHeight="false" outlineLevel="0" collapsed="false">
      <c r="A55" s="13" t="s">
        <v>285</v>
      </c>
      <c r="B55" s="13" t="s">
        <v>260</v>
      </c>
      <c r="C55" s="13" t="s">
        <v>286</v>
      </c>
      <c r="D55" s="13" t="s">
        <v>98</v>
      </c>
      <c r="E55" s="13" t="s">
        <v>99</v>
      </c>
      <c r="F55" s="14" t="s">
        <v>92</v>
      </c>
      <c r="G55" s="13" t="s">
        <v>287</v>
      </c>
      <c r="H55" s="15" t="n">
        <v>2.5</v>
      </c>
      <c r="I55" s="13" t="s">
        <v>288</v>
      </c>
      <c r="J55" s="14" t="s">
        <v>95</v>
      </c>
    </row>
    <row r="56" customFormat="false" ht="26.85" hidden="false" customHeight="false" outlineLevel="0" collapsed="false">
      <c r="A56" s="13" t="s">
        <v>289</v>
      </c>
      <c r="B56" s="13" t="s">
        <v>260</v>
      </c>
      <c r="C56" s="13" t="s">
        <v>290</v>
      </c>
      <c r="D56" s="13" t="s">
        <v>90</v>
      </c>
      <c r="E56" s="13" t="s">
        <v>91</v>
      </c>
      <c r="F56" s="14" t="s">
        <v>92</v>
      </c>
      <c r="G56" s="13" t="s">
        <v>291</v>
      </c>
      <c r="H56" s="15" t="n">
        <v>2</v>
      </c>
      <c r="I56" s="13" t="s">
        <v>292</v>
      </c>
      <c r="J56" s="14" t="s">
        <v>95</v>
      </c>
    </row>
    <row r="57" customFormat="false" ht="77.6" hidden="false" customHeight="false" outlineLevel="0" collapsed="false">
      <c r="A57" s="13" t="s">
        <v>293</v>
      </c>
      <c r="B57" s="13" t="s">
        <v>260</v>
      </c>
      <c r="C57" s="13" t="s">
        <v>294</v>
      </c>
      <c r="D57" s="13" t="s">
        <v>90</v>
      </c>
      <c r="E57" s="13" t="s">
        <v>91</v>
      </c>
      <c r="F57" s="14" t="s">
        <v>100</v>
      </c>
      <c r="G57" s="13" t="s">
        <v>295</v>
      </c>
      <c r="H57" s="15" t="n">
        <v>6.5</v>
      </c>
      <c r="I57" s="13" t="s">
        <v>296</v>
      </c>
      <c r="J57" s="14" t="s">
        <v>95</v>
      </c>
    </row>
    <row r="58" customFormat="false" ht="39.55" hidden="false" customHeight="false" outlineLevel="0" collapsed="false">
      <c r="A58" s="13" t="s">
        <v>297</v>
      </c>
      <c r="B58" s="13" t="s">
        <v>260</v>
      </c>
      <c r="C58" s="13" t="s">
        <v>298</v>
      </c>
      <c r="D58" s="13" t="s">
        <v>98</v>
      </c>
      <c r="E58" s="13" t="s">
        <v>99</v>
      </c>
      <c r="F58" s="14" t="s">
        <v>92</v>
      </c>
      <c r="G58" s="13" t="s">
        <v>299</v>
      </c>
      <c r="H58" s="15" t="n">
        <v>2.5</v>
      </c>
      <c r="I58" s="13" t="s">
        <v>300</v>
      </c>
      <c r="J58" s="14" t="s">
        <v>95</v>
      </c>
    </row>
    <row r="59" customFormat="false" ht="52.2" hidden="false" customHeight="false" outlineLevel="0" collapsed="false">
      <c r="A59" s="13" t="s">
        <v>301</v>
      </c>
      <c r="B59" s="13" t="s">
        <v>260</v>
      </c>
      <c r="C59" s="13" t="s">
        <v>302</v>
      </c>
      <c r="D59" s="13" t="s">
        <v>90</v>
      </c>
      <c r="E59" s="13" t="s">
        <v>91</v>
      </c>
      <c r="F59" s="14" t="s">
        <v>92</v>
      </c>
      <c r="G59" s="13" t="s">
        <v>152</v>
      </c>
      <c r="H59" s="15" t="n">
        <v>2.5</v>
      </c>
      <c r="I59" s="13" t="s">
        <v>303</v>
      </c>
      <c r="J59" s="14" t="s">
        <v>95</v>
      </c>
    </row>
    <row r="60" customFormat="false" ht="39.55" hidden="false" customHeight="false" outlineLevel="0" collapsed="false">
      <c r="A60" s="13" t="s">
        <v>304</v>
      </c>
      <c r="B60" s="13" t="s">
        <v>260</v>
      </c>
      <c r="C60" s="13" t="s">
        <v>305</v>
      </c>
      <c r="D60" s="13" t="s">
        <v>98</v>
      </c>
      <c r="E60" s="13" t="s">
        <v>99</v>
      </c>
      <c r="F60" s="14" t="s">
        <v>92</v>
      </c>
      <c r="G60" s="13" t="s">
        <v>101</v>
      </c>
      <c r="H60" s="15" t="n">
        <v>2.5</v>
      </c>
      <c r="I60" s="13" t="s">
        <v>306</v>
      </c>
      <c r="J60" s="14" t="s">
        <v>95</v>
      </c>
    </row>
    <row r="61" customFormat="false" ht="39.55" hidden="false" customHeight="false" outlineLevel="0" collapsed="false">
      <c r="A61" s="13" t="s">
        <v>307</v>
      </c>
      <c r="B61" s="13" t="s">
        <v>308</v>
      </c>
      <c r="C61" s="13" t="s">
        <v>309</v>
      </c>
      <c r="D61" s="13" t="s">
        <v>90</v>
      </c>
      <c r="E61" s="13" t="s">
        <v>91</v>
      </c>
      <c r="F61" s="14" t="s">
        <v>92</v>
      </c>
      <c r="G61" s="13" t="s">
        <v>310</v>
      </c>
      <c r="H61" s="15" t="n">
        <v>3</v>
      </c>
      <c r="I61" s="13" t="s">
        <v>311</v>
      </c>
      <c r="J61" s="14" t="s">
        <v>95</v>
      </c>
    </row>
    <row r="62" customFormat="false" ht="39.55" hidden="false" customHeight="false" outlineLevel="0" collapsed="false">
      <c r="A62" s="13" t="s">
        <v>312</v>
      </c>
      <c r="B62" s="13" t="s">
        <v>308</v>
      </c>
      <c r="C62" s="13" t="s">
        <v>313</v>
      </c>
      <c r="D62" s="13" t="s">
        <v>90</v>
      </c>
      <c r="E62" s="13" t="s">
        <v>91</v>
      </c>
      <c r="F62" s="14" t="s">
        <v>92</v>
      </c>
      <c r="G62" s="13" t="s">
        <v>314</v>
      </c>
      <c r="H62" s="15" t="n">
        <v>2.5</v>
      </c>
      <c r="I62" s="13" t="s">
        <v>315</v>
      </c>
      <c r="J62" s="14" t="s">
        <v>95</v>
      </c>
    </row>
    <row r="63" customFormat="false" ht="26.85" hidden="false" customHeight="false" outlineLevel="0" collapsed="false">
      <c r="A63" s="13" t="s">
        <v>316</v>
      </c>
      <c r="B63" s="13" t="s">
        <v>308</v>
      </c>
      <c r="C63" s="13" t="s">
        <v>317</v>
      </c>
      <c r="D63" s="13" t="s">
        <v>90</v>
      </c>
      <c r="E63" s="13" t="s">
        <v>91</v>
      </c>
      <c r="F63" s="14" t="s">
        <v>100</v>
      </c>
      <c r="G63" s="13" t="s">
        <v>318</v>
      </c>
      <c r="H63" s="15" t="n">
        <v>8</v>
      </c>
      <c r="I63" s="13" t="s">
        <v>319</v>
      </c>
      <c r="J63" s="14" t="s">
        <v>95</v>
      </c>
    </row>
    <row r="64" customFormat="false" ht="64.9" hidden="false" customHeight="false" outlineLevel="0" collapsed="false">
      <c r="A64" s="13" t="s">
        <v>320</v>
      </c>
      <c r="B64" s="13" t="s">
        <v>308</v>
      </c>
      <c r="C64" s="13" t="s">
        <v>321</v>
      </c>
      <c r="D64" s="13" t="s">
        <v>90</v>
      </c>
      <c r="E64" s="13" t="s">
        <v>91</v>
      </c>
      <c r="F64" s="14" t="s">
        <v>92</v>
      </c>
      <c r="G64" s="13" t="s">
        <v>322</v>
      </c>
      <c r="H64" s="15" t="n">
        <v>5</v>
      </c>
      <c r="I64" s="13" t="s">
        <v>323</v>
      </c>
      <c r="J64" s="14" t="s">
        <v>95</v>
      </c>
    </row>
    <row r="65" customFormat="false" ht="39.55" hidden="false" customHeight="false" outlineLevel="0" collapsed="false">
      <c r="A65" s="13" t="s">
        <v>324</v>
      </c>
      <c r="B65" s="13" t="s">
        <v>308</v>
      </c>
      <c r="C65" s="13" t="s">
        <v>325</v>
      </c>
      <c r="D65" s="13" t="s">
        <v>90</v>
      </c>
      <c r="E65" s="13" t="s">
        <v>91</v>
      </c>
      <c r="F65" s="14" t="s">
        <v>100</v>
      </c>
      <c r="G65" s="13" t="s">
        <v>326</v>
      </c>
      <c r="H65" s="15" t="n">
        <v>8</v>
      </c>
      <c r="I65" s="13" t="s">
        <v>327</v>
      </c>
      <c r="J65" s="14" t="s">
        <v>95</v>
      </c>
    </row>
    <row r="66" customFormat="false" ht="26.85" hidden="false" customHeight="false" outlineLevel="0" collapsed="false">
      <c r="A66" s="13" t="s">
        <v>328</v>
      </c>
      <c r="B66" s="13" t="s">
        <v>308</v>
      </c>
      <c r="C66" s="13" t="s">
        <v>329</v>
      </c>
      <c r="D66" s="13" t="s">
        <v>98</v>
      </c>
      <c r="E66" s="13" t="s">
        <v>99</v>
      </c>
      <c r="F66" s="14" t="s">
        <v>92</v>
      </c>
      <c r="G66" s="13" t="s">
        <v>330</v>
      </c>
      <c r="H66" s="15" t="n">
        <v>2.5</v>
      </c>
      <c r="I66" s="13" t="s">
        <v>331</v>
      </c>
      <c r="J66" s="14" t="s">
        <v>95</v>
      </c>
    </row>
    <row r="67" customFormat="false" ht="26.85" hidden="false" customHeight="false" outlineLevel="0" collapsed="false">
      <c r="A67" s="13" t="s">
        <v>332</v>
      </c>
      <c r="B67" s="13" t="s">
        <v>308</v>
      </c>
      <c r="C67" s="13" t="s">
        <v>333</v>
      </c>
      <c r="D67" s="13" t="s">
        <v>98</v>
      </c>
      <c r="E67" s="13" t="s">
        <v>99</v>
      </c>
      <c r="F67" s="14" t="s">
        <v>92</v>
      </c>
      <c r="G67" s="13" t="s">
        <v>330</v>
      </c>
      <c r="H67" s="15" t="n">
        <v>2</v>
      </c>
      <c r="I67" s="13" t="s">
        <v>334</v>
      </c>
      <c r="J67" s="14" t="s">
        <v>95</v>
      </c>
    </row>
    <row r="68" customFormat="false" ht="26.85" hidden="false" customHeight="false" outlineLevel="0" collapsed="false">
      <c r="A68" s="13" t="s">
        <v>335</v>
      </c>
      <c r="B68" s="13" t="s">
        <v>308</v>
      </c>
      <c r="C68" s="13" t="s">
        <v>336</v>
      </c>
      <c r="D68" s="13" t="s">
        <v>98</v>
      </c>
      <c r="E68" s="13" t="s">
        <v>99</v>
      </c>
      <c r="F68" s="14" t="s">
        <v>337</v>
      </c>
      <c r="G68" s="13" t="s">
        <v>338</v>
      </c>
      <c r="H68" s="15" t="n">
        <v>2</v>
      </c>
      <c r="I68" s="13" t="s">
        <v>339</v>
      </c>
      <c r="J68" s="14" t="s">
        <v>95</v>
      </c>
    </row>
    <row r="69" customFormat="false" ht="26.85" hidden="false" customHeight="false" outlineLevel="0" collapsed="false">
      <c r="A69" s="13" t="s">
        <v>340</v>
      </c>
      <c r="B69" s="13" t="s">
        <v>308</v>
      </c>
      <c r="C69" s="13" t="s">
        <v>341</v>
      </c>
      <c r="D69" s="13" t="s">
        <v>90</v>
      </c>
      <c r="E69" s="13" t="s">
        <v>91</v>
      </c>
      <c r="F69" s="14" t="s">
        <v>92</v>
      </c>
      <c r="G69" s="13" t="s">
        <v>342</v>
      </c>
      <c r="H69" s="15" t="n">
        <v>4</v>
      </c>
      <c r="I69" s="13" t="s">
        <v>343</v>
      </c>
      <c r="J69" s="14" t="s">
        <v>95</v>
      </c>
    </row>
    <row r="70" customFormat="false" ht="52.2" hidden="false" customHeight="false" outlineLevel="0" collapsed="false">
      <c r="A70" s="13" t="s">
        <v>344</v>
      </c>
      <c r="B70" s="13" t="s">
        <v>308</v>
      </c>
      <c r="C70" s="13" t="s">
        <v>345</v>
      </c>
      <c r="D70" s="13" t="s">
        <v>90</v>
      </c>
      <c r="E70" s="13" t="s">
        <v>91</v>
      </c>
      <c r="F70" s="14" t="s">
        <v>92</v>
      </c>
      <c r="G70" s="13" t="s">
        <v>152</v>
      </c>
      <c r="H70" s="15" t="n">
        <v>3</v>
      </c>
      <c r="I70" s="13" t="s">
        <v>346</v>
      </c>
      <c r="J70" s="14" t="s">
        <v>95</v>
      </c>
    </row>
    <row r="71" customFormat="false" ht="52.2" hidden="false" customHeight="false" outlineLevel="0" collapsed="false">
      <c r="A71" s="13" t="s">
        <v>347</v>
      </c>
      <c r="B71" s="13" t="s">
        <v>348</v>
      </c>
      <c r="C71" s="13" t="s">
        <v>349</v>
      </c>
      <c r="D71" s="13" t="s">
        <v>90</v>
      </c>
      <c r="E71" s="13" t="s">
        <v>91</v>
      </c>
      <c r="F71" s="14" t="s">
        <v>337</v>
      </c>
      <c r="G71" s="13" t="s">
        <v>350</v>
      </c>
      <c r="H71" s="15" t="n">
        <v>3</v>
      </c>
      <c r="I71" s="13" t="s">
        <v>351</v>
      </c>
      <c r="J71" s="14" t="s">
        <v>95</v>
      </c>
    </row>
    <row r="72" customFormat="false" ht="26.85" hidden="false" customHeight="false" outlineLevel="0" collapsed="false">
      <c r="A72" s="13" t="s">
        <v>352</v>
      </c>
      <c r="B72" s="13" t="s">
        <v>348</v>
      </c>
      <c r="C72" s="13" t="s">
        <v>353</v>
      </c>
      <c r="D72" s="13" t="s">
        <v>90</v>
      </c>
      <c r="E72" s="13" t="s">
        <v>91</v>
      </c>
      <c r="F72" s="14" t="s">
        <v>92</v>
      </c>
      <c r="G72" s="13" t="s">
        <v>350</v>
      </c>
      <c r="H72" s="15" t="n">
        <v>2</v>
      </c>
      <c r="I72" s="13" t="s">
        <v>354</v>
      </c>
      <c r="J72" s="14" t="s">
        <v>95</v>
      </c>
    </row>
    <row r="73" customFormat="false" ht="26.85" hidden="false" customHeight="false" outlineLevel="0" collapsed="false">
      <c r="A73" s="13" t="s">
        <v>355</v>
      </c>
      <c r="B73" s="13" t="s">
        <v>348</v>
      </c>
      <c r="C73" s="13" t="s">
        <v>356</v>
      </c>
      <c r="D73" s="13" t="s">
        <v>98</v>
      </c>
      <c r="E73" s="13" t="s">
        <v>99</v>
      </c>
      <c r="F73" s="14" t="s">
        <v>92</v>
      </c>
      <c r="G73" s="13" t="s">
        <v>350</v>
      </c>
      <c r="H73" s="15" t="n">
        <v>3</v>
      </c>
      <c r="I73" s="13" t="s">
        <v>357</v>
      </c>
      <c r="J73" s="14" t="s">
        <v>95</v>
      </c>
    </row>
    <row r="74" customFormat="false" ht="26.85" hidden="false" customHeight="false" outlineLevel="0" collapsed="false">
      <c r="A74" s="13" t="s">
        <v>358</v>
      </c>
      <c r="B74" s="13" t="s">
        <v>348</v>
      </c>
      <c r="C74" s="13" t="s">
        <v>359</v>
      </c>
      <c r="D74" s="13" t="s">
        <v>90</v>
      </c>
      <c r="E74" s="13" t="s">
        <v>91</v>
      </c>
      <c r="F74" s="14" t="s">
        <v>92</v>
      </c>
      <c r="G74" s="13" t="s">
        <v>360</v>
      </c>
      <c r="H74" s="15" t="n">
        <v>2</v>
      </c>
      <c r="I74" s="13" t="s">
        <v>361</v>
      </c>
      <c r="J74" s="14" t="s">
        <v>95</v>
      </c>
    </row>
    <row r="75" customFormat="false" ht="26.85" hidden="false" customHeight="false" outlineLevel="0" collapsed="false">
      <c r="A75" s="13" t="s">
        <v>362</v>
      </c>
      <c r="B75" s="13" t="s">
        <v>348</v>
      </c>
      <c r="C75" s="13" t="s">
        <v>363</v>
      </c>
      <c r="D75" s="13" t="s">
        <v>98</v>
      </c>
      <c r="E75" s="13" t="s">
        <v>99</v>
      </c>
      <c r="F75" s="14" t="s">
        <v>92</v>
      </c>
      <c r="G75" s="13" t="s">
        <v>364</v>
      </c>
      <c r="H75" s="15" t="n">
        <v>3</v>
      </c>
      <c r="I75" s="13" t="s">
        <v>365</v>
      </c>
      <c r="J75" s="14" t="s">
        <v>95</v>
      </c>
    </row>
    <row r="76" customFormat="false" ht="26.85" hidden="false" customHeight="false" outlineLevel="0" collapsed="false">
      <c r="A76" s="13" t="s">
        <v>366</v>
      </c>
      <c r="B76" s="13" t="s">
        <v>348</v>
      </c>
      <c r="C76" s="13" t="s">
        <v>367</v>
      </c>
      <c r="D76" s="13" t="s">
        <v>90</v>
      </c>
      <c r="E76" s="13" t="s">
        <v>91</v>
      </c>
      <c r="F76" s="14" t="s">
        <v>337</v>
      </c>
      <c r="G76" s="13" t="s">
        <v>350</v>
      </c>
      <c r="H76" s="15" t="n">
        <v>1.5</v>
      </c>
      <c r="I76" s="13" t="s">
        <v>368</v>
      </c>
      <c r="J76" s="14" t="s">
        <v>95</v>
      </c>
    </row>
    <row r="77" customFormat="false" ht="52.2" hidden="false" customHeight="false" outlineLevel="0" collapsed="false">
      <c r="A77" s="13" t="s">
        <v>369</v>
      </c>
      <c r="B77" s="13" t="s">
        <v>348</v>
      </c>
      <c r="C77" s="13" t="s">
        <v>370</v>
      </c>
      <c r="D77" s="13" t="s">
        <v>90</v>
      </c>
      <c r="E77" s="13" t="s">
        <v>91</v>
      </c>
      <c r="F77" s="14" t="s">
        <v>100</v>
      </c>
      <c r="G77" s="13" t="s">
        <v>371</v>
      </c>
      <c r="H77" s="15" t="n">
        <v>6.5</v>
      </c>
      <c r="I77" s="13" t="s">
        <v>372</v>
      </c>
      <c r="J77" s="14" t="s">
        <v>95</v>
      </c>
    </row>
    <row r="78" customFormat="false" ht="26.85" hidden="false" customHeight="false" outlineLevel="0" collapsed="false">
      <c r="A78" s="13" t="s">
        <v>373</v>
      </c>
      <c r="B78" s="13" t="s">
        <v>348</v>
      </c>
      <c r="C78" s="13" t="s">
        <v>374</v>
      </c>
      <c r="D78" s="13" t="s">
        <v>90</v>
      </c>
      <c r="E78" s="13" t="s">
        <v>91</v>
      </c>
      <c r="F78" s="14" t="s">
        <v>100</v>
      </c>
      <c r="G78" s="13" t="s">
        <v>375</v>
      </c>
      <c r="H78" s="15" t="n">
        <v>5</v>
      </c>
      <c r="I78" s="13" t="s">
        <v>376</v>
      </c>
      <c r="J78" s="14" t="s">
        <v>168</v>
      </c>
    </row>
    <row r="79" customFormat="false" ht="39.55" hidden="false" customHeight="false" outlineLevel="0" collapsed="false">
      <c r="A79" s="13" t="s">
        <v>377</v>
      </c>
      <c r="B79" s="13" t="s">
        <v>378</v>
      </c>
      <c r="C79" s="13" t="s">
        <v>379</v>
      </c>
      <c r="D79" s="13" t="s">
        <v>90</v>
      </c>
      <c r="E79" s="13" t="s">
        <v>91</v>
      </c>
      <c r="F79" s="14" t="s">
        <v>92</v>
      </c>
      <c r="G79" s="13" t="s">
        <v>380</v>
      </c>
      <c r="H79" s="15" t="n">
        <v>2.5</v>
      </c>
      <c r="I79" s="13" t="s">
        <v>381</v>
      </c>
      <c r="J79" s="14" t="s">
        <v>95</v>
      </c>
    </row>
    <row r="80" customFormat="false" ht="39.55" hidden="false" customHeight="false" outlineLevel="0" collapsed="false">
      <c r="A80" s="13" t="s">
        <v>382</v>
      </c>
      <c r="B80" s="13" t="s">
        <v>378</v>
      </c>
      <c r="C80" s="13" t="s">
        <v>383</v>
      </c>
      <c r="D80" s="13" t="s">
        <v>90</v>
      </c>
      <c r="E80" s="13" t="s">
        <v>91</v>
      </c>
      <c r="F80" s="14" t="s">
        <v>100</v>
      </c>
      <c r="G80" s="13" t="s">
        <v>380</v>
      </c>
      <c r="H80" s="15" t="n">
        <v>4</v>
      </c>
      <c r="I80" s="13" t="s">
        <v>384</v>
      </c>
      <c r="J80" s="14" t="s">
        <v>95</v>
      </c>
    </row>
    <row r="81" customFormat="false" ht="39.55" hidden="false" customHeight="false" outlineLevel="0" collapsed="false">
      <c r="A81" s="13" t="s">
        <v>385</v>
      </c>
      <c r="B81" s="13" t="s">
        <v>378</v>
      </c>
      <c r="C81" s="13" t="s">
        <v>386</v>
      </c>
      <c r="D81" s="13" t="s">
        <v>90</v>
      </c>
      <c r="E81" s="13" t="s">
        <v>91</v>
      </c>
      <c r="F81" s="14" t="s">
        <v>92</v>
      </c>
      <c r="G81" s="13" t="s">
        <v>380</v>
      </c>
      <c r="H81" s="15" t="n">
        <v>2</v>
      </c>
      <c r="I81" s="13" t="s">
        <v>387</v>
      </c>
      <c r="J81" s="14" t="s">
        <v>95</v>
      </c>
    </row>
    <row r="82" customFormat="false" ht="26.85" hidden="false" customHeight="false" outlineLevel="0" collapsed="false">
      <c r="A82" s="13" t="s">
        <v>388</v>
      </c>
      <c r="B82" s="13" t="s">
        <v>378</v>
      </c>
      <c r="C82" s="13" t="s">
        <v>389</v>
      </c>
      <c r="D82" s="13" t="s">
        <v>98</v>
      </c>
      <c r="E82" s="13" t="s">
        <v>99</v>
      </c>
      <c r="F82" s="14" t="s">
        <v>92</v>
      </c>
      <c r="G82" s="13" t="s">
        <v>380</v>
      </c>
      <c r="H82" s="15" t="n">
        <v>2</v>
      </c>
      <c r="I82" s="13" t="s">
        <v>390</v>
      </c>
      <c r="J82" s="14" t="s">
        <v>95</v>
      </c>
    </row>
    <row r="83" customFormat="false" ht="26.85" hidden="false" customHeight="false" outlineLevel="0" collapsed="false">
      <c r="A83" s="13" t="s">
        <v>391</v>
      </c>
      <c r="B83" s="13" t="s">
        <v>378</v>
      </c>
      <c r="C83" s="13" t="s">
        <v>392</v>
      </c>
      <c r="D83" s="13" t="s">
        <v>222</v>
      </c>
      <c r="E83" s="13" t="s">
        <v>223</v>
      </c>
      <c r="F83" s="14" t="s">
        <v>92</v>
      </c>
      <c r="G83" s="13" t="s">
        <v>380</v>
      </c>
      <c r="H83" s="15" t="n">
        <v>2</v>
      </c>
      <c r="I83" s="13" t="s">
        <v>393</v>
      </c>
      <c r="J83" s="14" t="s">
        <v>95</v>
      </c>
    </row>
    <row r="84" customFormat="false" ht="39.55" hidden="false" customHeight="false" outlineLevel="0" collapsed="false">
      <c r="A84" s="13" t="s">
        <v>394</v>
      </c>
      <c r="B84" s="13" t="s">
        <v>395</v>
      </c>
      <c r="C84" s="13" t="s">
        <v>396</v>
      </c>
      <c r="D84" s="13" t="s">
        <v>98</v>
      </c>
      <c r="E84" s="13" t="s">
        <v>99</v>
      </c>
      <c r="F84" s="14" t="s">
        <v>92</v>
      </c>
      <c r="G84" s="13" t="s">
        <v>397</v>
      </c>
      <c r="H84" s="15" t="n">
        <v>3</v>
      </c>
      <c r="I84" s="13" t="s">
        <v>398</v>
      </c>
      <c r="J84" s="14" t="s">
        <v>95</v>
      </c>
    </row>
    <row r="85" customFormat="false" ht="26.85" hidden="false" customHeight="false" outlineLevel="0" collapsed="false">
      <c r="A85" s="13" t="s">
        <v>399</v>
      </c>
      <c r="B85" s="13" t="s">
        <v>395</v>
      </c>
      <c r="C85" s="13" t="s">
        <v>400</v>
      </c>
      <c r="D85" s="13" t="s">
        <v>90</v>
      </c>
      <c r="E85" s="13" t="s">
        <v>91</v>
      </c>
      <c r="F85" s="14" t="s">
        <v>92</v>
      </c>
      <c r="G85" s="13" t="s">
        <v>397</v>
      </c>
      <c r="H85" s="15" t="n">
        <v>1.5</v>
      </c>
      <c r="I85" s="13" t="s">
        <v>401</v>
      </c>
      <c r="J85" s="14" t="s">
        <v>95</v>
      </c>
    </row>
    <row r="86" customFormat="false" ht="52.2" hidden="false" customHeight="false" outlineLevel="0" collapsed="false">
      <c r="A86" s="13" t="s">
        <v>402</v>
      </c>
      <c r="B86" s="13" t="s">
        <v>395</v>
      </c>
      <c r="C86" s="13" t="s">
        <v>403</v>
      </c>
      <c r="D86" s="13" t="s">
        <v>90</v>
      </c>
      <c r="E86" s="13" t="s">
        <v>91</v>
      </c>
      <c r="F86" s="14" t="s">
        <v>100</v>
      </c>
      <c r="G86" s="13" t="s">
        <v>397</v>
      </c>
      <c r="H86" s="15" t="n">
        <v>5</v>
      </c>
      <c r="I86" s="13" t="s">
        <v>404</v>
      </c>
      <c r="J86" s="14" t="s">
        <v>95</v>
      </c>
    </row>
    <row r="87" customFormat="false" ht="26.85" hidden="false" customHeight="false" outlineLevel="0" collapsed="false">
      <c r="A87" s="13" t="s">
        <v>405</v>
      </c>
      <c r="B87" s="13" t="s">
        <v>395</v>
      </c>
      <c r="C87" s="13" t="s">
        <v>406</v>
      </c>
      <c r="D87" s="13" t="s">
        <v>98</v>
      </c>
      <c r="E87" s="13" t="s">
        <v>99</v>
      </c>
      <c r="F87" s="14" t="s">
        <v>92</v>
      </c>
      <c r="G87" s="13" t="s">
        <v>397</v>
      </c>
      <c r="H87" s="15" t="n">
        <v>2</v>
      </c>
      <c r="I87" s="13" t="s">
        <v>407</v>
      </c>
      <c r="J87" s="14" t="s">
        <v>95</v>
      </c>
    </row>
    <row r="88" customFormat="false" ht="26.85" hidden="false" customHeight="false" outlineLevel="0" collapsed="false">
      <c r="A88" s="13" t="s">
        <v>408</v>
      </c>
      <c r="B88" s="13" t="s">
        <v>395</v>
      </c>
      <c r="C88" s="13" t="s">
        <v>409</v>
      </c>
      <c r="D88" s="13" t="s">
        <v>90</v>
      </c>
      <c r="E88" s="13" t="s">
        <v>91</v>
      </c>
      <c r="F88" s="14" t="s">
        <v>92</v>
      </c>
      <c r="G88" s="13" t="s">
        <v>397</v>
      </c>
      <c r="H88" s="15" t="n">
        <v>1.5</v>
      </c>
      <c r="I88" s="13" t="s">
        <v>410</v>
      </c>
      <c r="J88" s="14" t="s">
        <v>95</v>
      </c>
    </row>
    <row r="89" customFormat="false" ht="52.2" hidden="false" customHeight="false" outlineLevel="0" collapsed="false">
      <c r="A89" s="13" t="s">
        <v>411</v>
      </c>
      <c r="B89" s="13" t="s">
        <v>412</v>
      </c>
      <c r="C89" s="13" t="s">
        <v>413</v>
      </c>
      <c r="D89" s="13" t="s">
        <v>90</v>
      </c>
      <c r="E89" s="13" t="s">
        <v>91</v>
      </c>
      <c r="F89" s="14" t="s">
        <v>100</v>
      </c>
      <c r="G89" s="13" t="s">
        <v>414</v>
      </c>
      <c r="H89" s="15" t="n">
        <v>11</v>
      </c>
      <c r="I89" s="13" t="s">
        <v>415</v>
      </c>
      <c r="J89" s="14" t="s">
        <v>95</v>
      </c>
    </row>
    <row r="90" customFormat="false" ht="26.85" hidden="false" customHeight="false" outlineLevel="0" collapsed="false">
      <c r="A90" s="13" t="s">
        <v>416</v>
      </c>
      <c r="B90" s="13" t="s">
        <v>412</v>
      </c>
      <c r="C90" s="13" t="s">
        <v>417</v>
      </c>
      <c r="D90" s="13" t="s">
        <v>90</v>
      </c>
      <c r="E90" s="13" t="s">
        <v>91</v>
      </c>
      <c r="F90" s="14" t="s">
        <v>92</v>
      </c>
      <c r="G90" s="13" t="s">
        <v>414</v>
      </c>
      <c r="H90" s="15" t="n">
        <v>3</v>
      </c>
      <c r="I90" s="13" t="s">
        <v>418</v>
      </c>
      <c r="J90" s="14" t="s">
        <v>95</v>
      </c>
    </row>
    <row r="91" customFormat="false" ht="39.55" hidden="false" customHeight="false" outlineLevel="0" collapsed="false">
      <c r="A91" s="13" t="s">
        <v>419</v>
      </c>
      <c r="B91" s="13" t="s">
        <v>412</v>
      </c>
      <c r="C91" s="13" t="s">
        <v>420</v>
      </c>
      <c r="D91" s="13" t="s">
        <v>90</v>
      </c>
      <c r="E91" s="13" t="s">
        <v>91</v>
      </c>
      <c r="F91" s="14" t="s">
        <v>92</v>
      </c>
      <c r="G91" s="13" t="s">
        <v>125</v>
      </c>
      <c r="H91" s="15" t="n">
        <v>2</v>
      </c>
      <c r="I91" s="13" t="s">
        <v>421</v>
      </c>
      <c r="J91" s="14" t="s">
        <v>95</v>
      </c>
    </row>
    <row r="92" customFormat="false" ht="26.85" hidden="false" customHeight="false" outlineLevel="0" collapsed="false">
      <c r="A92" s="13" t="s">
        <v>422</v>
      </c>
      <c r="B92" s="13" t="s">
        <v>412</v>
      </c>
      <c r="C92" s="13" t="s">
        <v>423</v>
      </c>
      <c r="D92" s="13" t="s">
        <v>98</v>
      </c>
      <c r="E92" s="13" t="s">
        <v>99</v>
      </c>
      <c r="F92" s="14" t="s">
        <v>92</v>
      </c>
      <c r="G92" s="13" t="s">
        <v>424</v>
      </c>
      <c r="H92" s="15" t="n">
        <v>1.5</v>
      </c>
      <c r="I92" s="13" t="s">
        <v>425</v>
      </c>
      <c r="J92" s="14" t="s">
        <v>95</v>
      </c>
    </row>
    <row r="93" customFormat="false" ht="39.55" hidden="false" customHeight="false" outlineLevel="0" collapsed="false">
      <c r="A93" s="13" t="s">
        <v>426</v>
      </c>
      <c r="B93" s="13" t="s">
        <v>412</v>
      </c>
      <c r="C93" s="13" t="s">
        <v>427</v>
      </c>
      <c r="D93" s="13" t="s">
        <v>98</v>
      </c>
      <c r="E93" s="13" t="s">
        <v>99</v>
      </c>
      <c r="F93" s="14" t="s">
        <v>92</v>
      </c>
      <c r="G93" s="13" t="s">
        <v>428</v>
      </c>
      <c r="H93" s="15" t="n">
        <v>2.5</v>
      </c>
      <c r="I93" s="13" t="s">
        <v>429</v>
      </c>
      <c r="J93" s="14" t="s">
        <v>95</v>
      </c>
    </row>
    <row r="94" customFormat="false" ht="26.85" hidden="false" customHeight="false" outlineLevel="0" collapsed="false">
      <c r="A94" s="13" t="s">
        <v>430</v>
      </c>
      <c r="B94" s="13" t="s">
        <v>412</v>
      </c>
      <c r="C94" s="13" t="s">
        <v>431</v>
      </c>
      <c r="D94" s="13" t="s">
        <v>222</v>
      </c>
      <c r="E94" s="13" t="s">
        <v>223</v>
      </c>
      <c r="F94" s="14" t="s">
        <v>92</v>
      </c>
      <c r="G94" s="13" t="s">
        <v>148</v>
      </c>
      <c r="H94" s="15" t="n">
        <v>1.5</v>
      </c>
      <c r="I94" s="13" t="s">
        <v>432</v>
      </c>
      <c r="J94" s="14" t="s">
        <v>95</v>
      </c>
    </row>
    <row r="95" customFormat="false" ht="39.55" hidden="false" customHeight="false" outlineLevel="0" collapsed="false">
      <c r="A95" s="13" t="s">
        <v>433</v>
      </c>
      <c r="B95" s="13" t="s">
        <v>412</v>
      </c>
      <c r="C95" s="13" t="s">
        <v>434</v>
      </c>
      <c r="D95" s="13" t="s">
        <v>98</v>
      </c>
      <c r="E95" s="13" t="s">
        <v>99</v>
      </c>
      <c r="F95" s="14" t="s">
        <v>92</v>
      </c>
      <c r="G95" s="13" t="s">
        <v>121</v>
      </c>
      <c r="H95" s="15" t="n">
        <v>2</v>
      </c>
      <c r="I95" s="13" t="s">
        <v>435</v>
      </c>
      <c r="J95" s="14" t="s">
        <v>95</v>
      </c>
    </row>
    <row r="96" customFormat="false" ht="15" hidden="false" customHeight="false" outlineLevel="0" collapsed="false">
      <c r="G96" s="3" t="s">
        <v>436</v>
      </c>
      <c r="H96" s="16" t="n">
        <f aca="false">SUM(H5:H95)</f>
        <v>415.5</v>
      </c>
    </row>
    <row r="98" customFormat="false" ht="15" hidden="false" customHeight="false" outlineLevel="0" collapsed="false">
      <c r="A98" s="3" t="s">
        <v>437</v>
      </c>
    </row>
    <row r="99" customFormat="false" ht="15" hidden="false" customHeight="false" outlineLevel="0" collapsed="false">
      <c r="A99" s="17" t="s">
        <v>80</v>
      </c>
      <c r="B99" s="17" t="s">
        <v>337</v>
      </c>
      <c r="C99" s="17" t="s">
        <v>92</v>
      </c>
      <c r="D99" s="17" t="s">
        <v>100</v>
      </c>
      <c r="E99" s="17" t="s">
        <v>436</v>
      </c>
      <c r="F99" s="17" t="s">
        <v>438</v>
      </c>
    </row>
    <row r="100" customFormat="false" ht="15" hidden="false" customHeight="false" outlineLevel="0" collapsed="false">
      <c r="A100" s="5" t="s">
        <v>90</v>
      </c>
      <c r="B100" s="5" t="n">
        <f aca="false">COUNTIFS($D$5:$D$95,$A100,$F$5:$F$95,"Standard")</f>
        <v>2</v>
      </c>
      <c r="C100" s="5" t="n">
        <f aca="false">COUNTIFS($D$5:$D$95,$A100,$F$5:$F$95,"Configuration")</f>
        <v>38</v>
      </c>
      <c r="D100" s="5" t="n">
        <f aca="false">COUNTIFS($D$5:$D$95,$A100,$F$5:$F$95,"Development")</f>
        <v>19</v>
      </c>
      <c r="E100" s="5" t="n">
        <f aca="false">SUM(B100:D100)</f>
        <v>59</v>
      </c>
      <c r="F100" s="18" t="n">
        <f aca="false">SUMIFS($H$5:$H$95,$D$5:$D$95,$A100)</f>
        <v>286.5</v>
      </c>
    </row>
    <row r="101" customFormat="false" ht="15" hidden="false" customHeight="false" outlineLevel="0" collapsed="false">
      <c r="A101" s="5" t="s">
        <v>98</v>
      </c>
      <c r="B101" s="5" t="n">
        <f aca="false">COUNTIFS($D$5:$D$95,$A101,$F$5:$F$95,"Standard")</f>
        <v>1</v>
      </c>
      <c r="C101" s="5" t="n">
        <f aca="false">COUNTIFS($D$5:$D$95,$A101,$F$5:$F$95,"Configuration")</f>
        <v>19</v>
      </c>
      <c r="D101" s="5" t="n">
        <f aca="false">COUNTIFS($D$5:$D$95,$A101,$F$5:$F$95,"Development")</f>
        <v>7</v>
      </c>
      <c r="E101" s="5" t="n">
        <f aca="false">SUM(B101:D101)</f>
        <v>27</v>
      </c>
      <c r="F101" s="18" t="n">
        <f aca="false">SUMIFS($H$5:$H$95,$D$5:$D$95,$A101)</f>
        <v>112</v>
      </c>
    </row>
    <row r="102" customFormat="false" ht="15" hidden="false" customHeight="false" outlineLevel="0" collapsed="false">
      <c r="A102" s="5" t="s">
        <v>222</v>
      </c>
      <c r="B102" s="5" t="n">
        <f aca="false">COUNTIFS($D$5:$D$95,$A102,$F$5:$F$95,"Standard")</f>
        <v>0</v>
      </c>
      <c r="C102" s="5" t="n">
        <f aca="false">COUNTIFS($D$5:$D$95,$A102,$F$5:$F$95,"Configuration")</f>
        <v>4</v>
      </c>
      <c r="D102" s="5" t="n">
        <f aca="false">COUNTIFS($D$5:$D$95,$A102,$F$5:$F$95,"Development")</f>
        <v>1</v>
      </c>
      <c r="E102" s="5" t="n">
        <f aca="false">SUM(B102:D102)</f>
        <v>5</v>
      </c>
      <c r="F102" s="18" t="n">
        <f aca="false">SUMIFS($H$5:$H$95,$D$5:$D$95,$A102)</f>
        <v>17</v>
      </c>
    </row>
  </sheetData>
  <autoFilter ref="A4:J95"/>
  <dataValidations count="1">
    <dataValidation allowBlank="false" errorStyle="stop" operator="between" showDropDown="false" showErrorMessage="false" showInputMessage="false" sqref="F5:F95" type="list">
      <formula1>"Standard,Configuration,Development"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60"/>
    <col collapsed="false" customWidth="true" hidden="false" outlineLevel="0" max="3" min="3" style="0" width="18"/>
    <col collapsed="false" customWidth="true" hidden="false" outlineLevel="0" max="4" min="4" style="0" width="14"/>
    <col collapsed="false" customWidth="true" hidden="false" outlineLevel="0" max="5" min="5" style="0" width="60"/>
  </cols>
  <sheetData>
    <row r="1" customFormat="false" ht="17.35" hidden="false" customHeight="false" outlineLevel="0" collapsed="false">
      <c r="A1" s="1" t="s">
        <v>439</v>
      </c>
    </row>
    <row r="2" customFormat="false" ht="15" hidden="false" customHeight="false" outlineLevel="0" collapsed="false">
      <c r="A2" s="2" t="s">
        <v>440</v>
      </c>
    </row>
    <row r="4" customFormat="false" ht="26.85" hidden="false" customHeight="false" outlineLevel="0" collapsed="false">
      <c r="A4" s="7" t="s">
        <v>441</v>
      </c>
      <c r="B4" s="7" t="s">
        <v>442</v>
      </c>
      <c r="C4" s="7" t="s">
        <v>443</v>
      </c>
      <c r="D4" s="7" t="s">
        <v>444</v>
      </c>
      <c r="E4" s="7" t="s">
        <v>445</v>
      </c>
    </row>
    <row r="5" customFormat="false" ht="26.85" hidden="false" customHeight="false" outlineLevel="0" collapsed="false">
      <c r="A5" s="13" t="s">
        <v>90</v>
      </c>
      <c r="B5" s="13" t="s">
        <v>446</v>
      </c>
      <c r="C5" s="13" t="s">
        <v>447</v>
      </c>
      <c r="D5" s="14" t="n">
        <v>30</v>
      </c>
      <c r="E5" s="13" t="s">
        <v>448</v>
      </c>
    </row>
    <row r="6" customFormat="false" ht="26.85" hidden="false" customHeight="false" outlineLevel="0" collapsed="false">
      <c r="A6" s="13" t="s">
        <v>90</v>
      </c>
      <c r="B6" s="13" t="s">
        <v>449</v>
      </c>
      <c r="C6" s="13" t="s">
        <v>450</v>
      </c>
      <c r="D6" s="14" t="n">
        <v>6</v>
      </c>
      <c r="E6" s="13"/>
    </row>
    <row r="7" customFormat="false" ht="15" hidden="false" customHeight="false" outlineLevel="0" collapsed="false">
      <c r="A7" s="13" t="s">
        <v>90</v>
      </c>
      <c r="B7" s="13" t="s">
        <v>451</v>
      </c>
      <c r="C7" s="13" t="s">
        <v>452</v>
      </c>
      <c r="D7" s="14" t="n">
        <v>8</v>
      </c>
      <c r="E7" s="13" t="s">
        <v>453</v>
      </c>
    </row>
    <row r="8" customFormat="false" ht="15" hidden="false" customHeight="false" outlineLevel="0" collapsed="false">
      <c r="A8" s="13" t="s">
        <v>90</v>
      </c>
      <c r="B8" s="13" t="s">
        <v>454</v>
      </c>
      <c r="C8" s="13" t="s">
        <v>452</v>
      </c>
      <c r="D8" s="14" t="n">
        <v>10</v>
      </c>
      <c r="E8" s="13" t="s">
        <v>455</v>
      </c>
    </row>
    <row r="9" customFormat="false" ht="15" hidden="false" customHeight="false" outlineLevel="0" collapsed="false">
      <c r="A9" s="13" t="s">
        <v>90</v>
      </c>
      <c r="B9" s="13" t="s">
        <v>456</v>
      </c>
      <c r="C9" s="13" t="s">
        <v>452</v>
      </c>
      <c r="D9" s="14" t="n">
        <v>5</v>
      </c>
      <c r="E9" s="13" t="s">
        <v>457</v>
      </c>
    </row>
    <row r="10" customFormat="false" ht="15" hidden="false" customHeight="false" outlineLevel="0" collapsed="false">
      <c r="A10" s="13" t="s">
        <v>90</v>
      </c>
      <c r="B10" s="13" t="s">
        <v>458</v>
      </c>
      <c r="C10" s="13" t="s">
        <v>452</v>
      </c>
      <c r="D10" s="14" t="n">
        <v>5</v>
      </c>
      <c r="E10" s="13"/>
    </row>
    <row r="11" customFormat="false" ht="15" hidden="false" customHeight="false" outlineLevel="0" collapsed="false">
      <c r="A11" s="13" t="s">
        <v>90</v>
      </c>
      <c r="B11" s="13" t="s">
        <v>459</v>
      </c>
      <c r="C11" s="13" t="s">
        <v>452</v>
      </c>
      <c r="D11" s="14" t="n">
        <v>4</v>
      </c>
      <c r="E11" s="13" t="s">
        <v>460</v>
      </c>
    </row>
    <row r="12" customFormat="false" ht="26.85" hidden="false" customHeight="false" outlineLevel="0" collapsed="false">
      <c r="A12" s="13" t="s">
        <v>90</v>
      </c>
      <c r="B12" s="13" t="s">
        <v>461</v>
      </c>
      <c r="C12" s="13" t="s">
        <v>462</v>
      </c>
      <c r="D12" s="14" t="n">
        <v>18</v>
      </c>
      <c r="E12" s="13" t="s">
        <v>463</v>
      </c>
    </row>
    <row r="13" customFormat="false" ht="15" hidden="false" customHeight="false" outlineLevel="0" collapsed="false">
      <c r="A13" s="13" t="s">
        <v>90</v>
      </c>
      <c r="B13" s="13" t="s">
        <v>464</v>
      </c>
      <c r="C13" s="13" t="s">
        <v>465</v>
      </c>
      <c r="D13" s="14" t="n">
        <v>12</v>
      </c>
      <c r="E13" s="13" t="s">
        <v>466</v>
      </c>
    </row>
    <row r="14" customFormat="false" ht="26.85" hidden="false" customHeight="false" outlineLevel="0" collapsed="false">
      <c r="A14" s="13" t="s">
        <v>90</v>
      </c>
      <c r="B14" s="13" t="s">
        <v>467</v>
      </c>
      <c r="C14" s="13" t="s">
        <v>465</v>
      </c>
      <c r="D14" s="14" t="n">
        <v>8</v>
      </c>
      <c r="E14" s="13"/>
    </row>
    <row r="15" customFormat="false" ht="15" hidden="false" customHeight="false" outlineLevel="0" collapsed="false">
      <c r="A15" s="13" t="s">
        <v>98</v>
      </c>
      <c r="B15" s="13" t="s">
        <v>468</v>
      </c>
      <c r="C15" s="13" t="s">
        <v>452</v>
      </c>
      <c r="D15" s="14" t="n">
        <v>13</v>
      </c>
      <c r="E15" s="13"/>
    </row>
    <row r="16" customFormat="false" ht="15" hidden="false" customHeight="false" outlineLevel="0" collapsed="false">
      <c r="A16" s="13" t="s">
        <v>98</v>
      </c>
      <c r="B16" s="13" t="s">
        <v>469</v>
      </c>
      <c r="C16" s="13" t="s">
        <v>462</v>
      </c>
      <c r="D16" s="14" t="n">
        <v>6</v>
      </c>
      <c r="E16" s="13"/>
    </row>
    <row r="17" customFormat="false" ht="15" hidden="false" customHeight="false" outlineLevel="0" collapsed="false">
      <c r="A17" s="13" t="s">
        <v>222</v>
      </c>
      <c r="B17" s="13" t="s">
        <v>470</v>
      </c>
      <c r="C17" s="13" t="s">
        <v>452</v>
      </c>
      <c r="D17" s="14" t="n">
        <v>6</v>
      </c>
      <c r="E17" s="13"/>
    </row>
    <row r="18" customFormat="false" ht="15" hidden="false" customHeight="false" outlineLevel="0" collapsed="false">
      <c r="C18" s="3" t="s">
        <v>436</v>
      </c>
      <c r="D18" s="3" t="n">
        <f aca="false">SUM(D5:D17)</f>
        <v>131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4" min="3" style="0" width="12"/>
    <col collapsed="false" customWidth="true" hidden="false" outlineLevel="0" max="5" min="5" style="0" width="10"/>
    <col collapsed="false" customWidth="true" hidden="false" outlineLevel="0" max="6" min="6" style="0" width="8"/>
    <col collapsed="false" customWidth="true" hidden="false" outlineLevel="0" max="7" min="7" style="0" width="40"/>
    <col collapsed="false" customWidth="true" hidden="false" outlineLevel="0" max="8" min="8" style="0" width="10"/>
    <col collapsed="false" customWidth="true" hidden="false" outlineLevel="0" max="10" min="9" style="0" width="11"/>
    <col collapsed="false" customWidth="true" hidden="false" outlineLevel="0" max="11" min="11" style="0" width="12"/>
    <col collapsed="false" customWidth="true" hidden="false" outlineLevel="0" max="12" min="12" style="0" width="90"/>
  </cols>
  <sheetData>
    <row r="1" customFormat="false" ht="17.35" hidden="false" customHeight="false" outlineLevel="0" collapsed="false">
      <c r="A1" s="1" t="s">
        <v>471</v>
      </c>
    </row>
    <row r="2" customFormat="false" ht="15" hidden="false" customHeight="false" outlineLevel="0" collapsed="false">
      <c r="A2" s="2" t="s">
        <v>472</v>
      </c>
    </row>
    <row r="4" customFormat="false" ht="39.55" hidden="false" customHeight="false" outlineLevel="0" collapsed="false">
      <c r="A4" s="7" t="s">
        <v>441</v>
      </c>
      <c r="B4" s="7" t="s">
        <v>473</v>
      </c>
      <c r="C4" s="7" t="s">
        <v>474</v>
      </c>
      <c r="D4" s="7" t="s">
        <v>475</v>
      </c>
      <c r="E4" s="7" t="s">
        <v>476</v>
      </c>
      <c r="F4" s="7" t="s">
        <v>477</v>
      </c>
      <c r="G4" s="7" t="s">
        <v>36</v>
      </c>
      <c r="H4" s="7" t="s">
        <v>478</v>
      </c>
      <c r="I4" s="7" t="s">
        <v>479</v>
      </c>
      <c r="J4" s="7" t="s">
        <v>37</v>
      </c>
      <c r="K4" s="7" t="s">
        <v>480</v>
      </c>
      <c r="L4" s="7" t="s">
        <v>481</v>
      </c>
    </row>
    <row r="5" customFormat="false" ht="26.85" hidden="false" customHeight="false" outlineLevel="0" collapsed="false">
      <c r="A5" s="13" t="s">
        <v>482</v>
      </c>
      <c r="B5" s="13" t="s">
        <v>483</v>
      </c>
      <c r="C5" s="19" t="n">
        <v>46342</v>
      </c>
      <c r="D5" s="19" t="n">
        <v>46346</v>
      </c>
      <c r="E5" s="13" t="n">
        <f aca="false">NETWORKDAYS(C5,D5,Assumptions!$A$16:$A$19)</f>
        <v>5</v>
      </c>
      <c r="F5" s="13" t="s">
        <v>38</v>
      </c>
      <c r="G5" s="20" t="str">
        <f aca="false">INDEX(Assumptions!$B$5:$B$13,MATCH(F5,Assumptions!$A$5:$A$13,0))</f>
        <v>Engagement lead and solution architect (named lead)</v>
      </c>
      <c r="H5" s="21" t="n">
        <v>0.4</v>
      </c>
      <c r="I5" s="22" t="n">
        <f aca="false">E5*H5</f>
        <v>2</v>
      </c>
      <c r="J5" s="23" t="n">
        <f aca="false">INDEX(Assumptions!$C$5:$C$13,MATCH(F5,Assumptions!$A$5:$A$13,0))</f>
        <v>280</v>
      </c>
      <c r="K5" s="24" t="n">
        <f aca="false">I5*J5</f>
        <v>560</v>
      </c>
      <c r="L5" s="13" t="s">
        <v>484</v>
      </c>
    </row>
    <row r="6" customFormat="false" ht="39.55" hidden="false" customHeight="false" outlineLevel="0" collapsed="false">
      <c r="A6" s="13" t="s">
        <v>482</v>
      </c>
      <c r="B6" s="13" t="s">
        <v>483</v>
      </c>
      <c r="C6" s="19" t="n">
        <v>46342</v>
      </c>
      <c r="D6" s="19" t="n">
        <v>46346</v>
      </c>
      <c r="E6" s="13" t="n">
        <f aca="false">NETWORKDAYS(C6,D6,Assumptions!$A$16:$A$19)</f>
        <v>5</v>
      </c>
      <c r="F6" s="13" t="s">
        <v>40</v>
      </c>
      <c r="G6" s="20" t="str">
        <f aca="false">INDEX(Assumptions!$B$5:$B$13,MATCH(F6,Assumptions!$A$5:$A$13,0))</f>
        <v>Functional consultant – investment and finance</v>
      </c>
      <c r="H6" s="21" t="n">
        <v>1</v>
      </c>
      <c r="I6" s="22" t="n">
        <f aca="false">E6*H6</f>
        <v>5</v>
      </c>
      <c r="J6" s="23" t="n">
        <f aca="false">INDEX(Assumptions!$C$5:$C$13,MATCH(F6,Assumptions!$A$5:$A$13,0))</f>
        <v>230</v>
      </c>
      <c r="K6" s="24" t="n">
        <f aca="false">I6*J6</f>
        <v>1150</v>
      </c>
      <c r="L6" s="13" t="s">
        <v>485</v>
      </c>
    </row>
    <row r="7" customFormat="false" ht="26.85" hidden="false" customHeight="false" outlineLevel="0" collapsed="false">
      <c r="A7" s="13" t="s">
        <v>482</v>
      </c>
      <c r="B7" s="13" t="s">
        <v>483</v>
      </c>
      <c r="C7" s="19" t="n">
        <v>46342</v>
      </c>
      <c r="D7" s="19" t="n">
        <v>46346</v>
      </c>
      <c r="E7" s="13" t="n">
        <f aca="false">NETWORKDAYS(C7,D7,Assumptions!$A$16:$A$19)</f>
        <v>5</v>
      </c>
      <c r="F7" s="13" t="s">
        <v>42</v>
      </c>
      <c r="G7" s="20" t="str">
        <f aca="false">INDEX(Assumptions!$B$5:$B$13,MATCH(F7,Assumptions!$A$5:$A$13,0))</f>
        <v>Lead Frappe developer – platform core and controls</v>
      </c>
      <c r="H7" s="21" t="n">
        <v>0.4</v>
      </c>
      <c r="I7" s="22" t="n">
        <f aca="false">E7*H7</f>
        <v>2</v>
      </c>
      <c r="J7" s="23" t="n">
        <f aca="false">INDEX(Assumptions!$C$5:$C$13,MATCH(F7,Assumptions!$A$5:$A$13,0))</f>
        <v>180</v>
      </c>
      <c r="K7" s="24" t="n">
        <f aca="false">I7*J7</f>
        <v>360</v>
      </c>
      <c r="L7" s="13" t="s">
        <v>486</v>
      </c>
    </row>
    <row r="8" customFormat="false" ht="26.85" hidden="false" customHeight="false" outlineLevel="0" collapsed="false">
      <c r="A8" s="13" t="s">
        <v>482</v>
      </c>
      <c r="B8" s="13" t="s">
        <v>483</v>
      </c>
      <c r="C8" s="19" t="n">
        <v>46342</v>
      </c>
      <c r="D8" s="19" t="n">
        <v>46346</v>
      </c>
      <c r="E8" s="13" t="n">
        <f aca="false">NETWORKDAYS(C8,D8,Assumptions!$A$16:$A$19)</f>
        <v>5</v>
      </c>
      <c r="F8" s="13" t="s">
        <v>44</v>
      </c>
      <c r="G8" s="20" t="str">
        <f aca="false">INDEX(Assumptions!$B$5:$B$13,MATCH(F8,Assumptions!$A$5:$A$13,0))</f>
        <v>Senior Frappe developer – finance and integrations</v>
      </c>
      <c r="H8" s="21" t="n">
        <v>0.2</v>
      </c>
      <c r="I8" s="22" t="n">
        <f aca="false">E8*H8</f>
        <v>1</v>
      </c>
      <c r="J8" s="23" t="n">
        <f aca="false">INDEX(Assumptions!$C$5:$C$13,MATCH(F8,Assumptions!$A$5:$A$13,0))</f>
        <v>180</v>
      </c>
      <c r="K8" s="24" t="n">
        <f aca="false">I8*J8</f>
        <v>180</v>
      </c>
      <c r="L8" s="13" t="s">
        <v>487</v>
      </c>
    </row>
    <row r="9" customFormat="false" ht="26.85" hidden="false" customHeight="false" outlineLevel="0" collapsed="false">
      <c r="A9" s="13" t="s">
        <v>482</v>
      </c>
      <c r="B9" s="13" t="s">
        <v>483</v>
      </c>
      <c r="C9" s="19" t="n">
        <v>46342</v>
      </c>
      <c r="D9" s="19" t="n">
        <v>46346</v>
      </c>
      <c r="E9" s="13" t="n">
        <f aca="false">NETWORKDAYS(C9,D9,Assumptions!$A$16:$A$19)</f>
        <v>5</v>
      </c>
      <c r="F9" s="13" t="s">
        <v>54</v>
      </c>
      <c r="G9" s="20" t="str">
        <f aca="false">INDEX(Assumptions!$B$5:$B$13,MATCH(F9,Assumptions!$A$5:$A$13,0))</f>
        <v>DevOps and security engineer</v>
      </c>
      <c r="H9" s="21" t="n">
        <v>0.4</v>
      </c>
      <c r="I9" s="22" t="n">
        <f aca="false">E9*H9</f>
        <v>2</v>
      </c>
      <c r="J9" s="23" t="n">
        <f aca="false">INDEX(Assumptions!$C$5:$C$13,MATCH(F9,Assumptions!$A$5:$A$13,0))</f>
        <v>180</v>
      </c>
      <c r="K9" s="24" t="n">
        <f aca="false">I9*J9</f>
        <v>360</v>
      </c>
      <c r="L9" s="13" t="s">
        <v>488</v>
      </c>
    </row>
    <row r="10" customFormat="false" ht="26.85" hidden="false" customHeight="false" outlineLevel="0" collapsed="false">
      <c r="A10" s="13" t="s">
        <v>482</v>
      </c>
      <c r="B10" s="13" t="s">
        <v>489</v>
      </c>
      <c r="C10" s="19" t="n">
        <v>46349</v>
      </c>
      <c r="D10" s="19" t="n">
        <v>46444</v>
      </c>
      <c r="E10" s="13" t="n">
        <f aca="false">NETWORKDAYS(C10,D10,Assumptions!$A$16:$A$19)</f>
        <v>66</v>
      </c>
      <c r="F10" s="13" t="s">
        <v>38</v>
      </c>
      <c r="G10" s="20" t="str">
        <f aca="false">INDEX(Assumptions!$B$5:$B$13,MATCH(F10,Assumptions!$A$5:$A$13,0))</f>
        <v>Engagement lead and solution architect (named lead)</v>
      </c>
      <c r="H10" s="21" t="n">
        <v>0.2</v>
      </c>
      <c r="I10" s="22" t="n">
        <f aca="false">E10*H10</f>
        <v>13.2</v>
      </c>
      <c r="J10" s="23" t="n">
        <f aca="false">INDEX(Assumptions!$C$5:$C$13,MATCH(F10,Assumptions!$A$5:$A$13,0))</f>
        <v>280</v>
      </c>
      <c r="K10" s="24" t="n">
        <f aca="false">I10*J10</f>
        <v>3696</v>
      </c>
      <c r="L10" s="13" t="s">
        <v>490</v>
      </c>
    </row>
    <row r="11" customFormat="false" ht="26.85" hidden="false" customHeight="false" outlineLevel="0" collapsed="false">
      <c r="A11" s="13" t="s">
        <v>482</v>
      </c>
      <c r="B11" s="13" t="s">
        <v>489</v>
      </c>
      <c r="C11" s="19" t="n">
        <v>46349</v>
      </c>
      <c r="D11" s="19" t="n">
        <v>46444</v>
      </c>
      <c r="E11" s="13" t="n">
        <f aca="false">NETWORKDAYS(C11,D11,Assumptions!$A$16:$A$19)</f>
        <v>66</v>
      </c>
      <c r="F11" s="13" t="s">
        <v>40</v>
      </c>
      <c r="G11" s="20" t="str">
        <f aca="false">INDEX(Assumptions!$B$5:$B$13,MATCH(F11,Assumptions!$A$5:$A$13,0))</f>
        <v>Functional consultant – investment and finance</v>
      </c>
      <c r="H11" s="21" t="n">
        <v>0.7</v>
      </c>
      <c r="I11" s="22" t="n">
        <f aca="false">E11*H11</f>
        <v>46.2</v>
      </c>
      <c r="J11" s="23" t="n">
        <f aca="false">INDEX(Assumptions!$C$5:$C$13,MATCH(F11,Assumptions!$A$5:$A$13,0))</f>
        <v>230</v>
      </c>
      <c r="K11" s="24" t="n">
        <f aca="false">I11*J11</f>
        <v>10626</v>
      </c>
      <c r="L11" s="13" t="s">
        <v>491</v>
      </c>
    </row>
    <row r="12" customFormat="false" ht="26.85" hidden="false" customHeight="false" outlineLevel="0" collapsed="false">
      <c r="A12" s="13" t="s">
        <v>482</v>
      </c>
      <c r="B12" s="13" t="s">
        <v>489</v>
      </c>
      <c r="C12" s="19" t="n">
        <v>46349</v>
      </c>
      <c r="D12" s="19" t="n">
        <v>46444</v>
      </c>
      <c r="E12" s="13" t="n">
        <f aca="false">NETWORKDAYS(C12,D12,Assumptions!$A$16:$A$19)</f>
        <v>66</v>
      </c>
      <c r="F12" s="13" t="s">
        <v>42</v>
      </c>
      <c r="G12" s="20" t="str">
        <f aca="false">INDEX(Assumptions!$B$5:$B$13,MATCH(F12,Assumptions!$A$5:$A$13,0))</f>
        <v>Lead Frappe developer – platform core and controls</v>
      </c>
      <c r="H12" s="21" t="n">
        <v>1</v>
      </c>
      <c r="I12" s="22" t="n">
        <f aca="false">E12*H12</f>
        <v>66</v>
      </c>
      <c r="J12" s="23" t="n">
        <f aca="false">INDEX(Assumptions!$C$5:$C$13,MATCH(F12,Assumptions!$A$5:$A$13,0))</f>
        <v>180</v>
      </c>
      <c r="K12" s="24" t="n">
        <f aca="false">I12*J12</f>
        <v>11880</v>
      </c>
      <c r="L12" s="13" t="s">
        <v>492</v>
      </c>
    </row>
    <row r="13" customFormat="false" ht="39.55" hidden="false" customHeight="false" outlineLevel="0" collapsed="false">
      <c r="A13" s="13" t="s">
        <v>482</v>
      </c>
      <c r="B13" s="13" t="s">
        <v>489</v>
      </c>
      <c r="C13" s="19" t="n">
        <v>46349</v>
      </c>
      <c r="D13" s="19" t="n">
        <v>46444</v>
      </c>
      <c r="E13" s="13" t="n">
        <f aca="false">NETWORKDAYS(C13,D13,Assumptions!$A$16:$A$19)</f>
        <v>66</v>
      </c>
      <c r="F13" s="13" t="s">
        <v>44</v>
      </c>
      <c r="G13" s="20" t="str">
        <f aca="false">INDEX(Assumptions!$B$5:$B$13,MATCH(F13,Assumptions!$A$5:$A$13,0))</f>
        <v>Senior Frappe developer – finance and integrations</v>
      </c>
      <c r="H13" s="21" t="n">
        <v>1</v>
      </c>
      <c r="I13" s="22" t="n">
        <f aca="false">E13*H13</f>
        <v>66</v>
      </c>
      <c r="J13" s="23" t="n">
        <f aca="false">INDEX(Assumptions!$C$5:$C$13,MATCH(F13,Assumptions!$A$5:$A$13,0))</f>
        <v>180</v>
      </c>
      <c r="K13" s="24" t="n">
        <f aca="false">I13*J13</f>
        <v>11880</v>
      </c>
      <c r="L13" s="13" t="s">
        <v>493</v>
      </c>
    </row>
    <row r="14" customFormat="false" ht="39.55" hidden="false" customHeight="false" outlineLevel="0" collapsed="false">
      <c r="A14" s="13" t="s">
        <v>482</v>
      </c>
      <c r="B14" s="13" t="s">
        <v>489</v>
      </c>
      <c r="C14" s="19" t="n">
        <v>46349</v>
      </c>
      <c r="D14" s="19" t="n">
        <v>46444</v>
      </c>
      <c r="E14" s="13" t="n">
        <f aca="false">NETWORKDAYS(C14,D14,Assumptions!$A$16:$A$19)</f>
        <v>66</v>
      </c>
      <c r="F14" s="13" t="s">
        <v>46</v>
      </c>
      <c r="G14" s="20" t="str">
        <f aca="false">INDEX(Assumptions!$B$5:$B$13,MATCH(F14,Assumptions!$A$5:$A$13,0))</f>
        <v>Frappe developer – governance and compliance</v>
      </c>
      <c r="H14" s="21" t="n">
        <v>1</v>
      </c>
      <c r="I14" s="22" t="n">
        <f aca="false">E14*H14</f>
        <v>66</v>
      </c>
      <c r="J14" s="23" t="n">
        <f aca="false">INDEX(Assumptions!$C$5:$C$13,MATCH(F14,Assumptions!$A$5:$A$13,0))</f>
        <v>135</v>
      </c>
      <c r="K14" s="24" t="n">
        <f aca="false">I14*J14</f>
        <v>8910</v>
      </c>
      <c r="L14" s="13" t="s">
        <v>494</v>
      </c>
    </row>
    <row r="15" customFormat="false" ht="39.55" hidden="false" customHeight="false" outlineLevel="0" collapsed="false">
      <c r="A15" s="13" t="s">
        <v>482</v>
      </c>
      <c r="B15" s="13" t="s">
        <v>489</v>
      </c>
      <c r="C15" s="19" t="n">
        <v>46349</v>
      </c>
      <c r="D15" s="19" t="n">
        <v>46444</v>
      </c>
      <c r="E15" s="13" t="n">
        <f aca="false">NETWORKDAYS(C15,D15,Assumptions!$A$16:$A$19)</f>
        <v>66</v>
      </c>
      <c r="F15" s="13" t="s">
        <v>48</v>
      </c>
      <c r="G15" s="20" t="str">
        <f aca="false">INDEX(Assumptions!$B$5:$B$13,MATCH(F15,Assumptions!$A$5:$A$13,0))</f>
        <v>Frappe developer – procurement, travel, Consultants, KYC</v>
      </c>
      <c r="H15" s="21" t="n">
        <v>1</v>
      </c>
      <c r="I15" s="22" t="n">
        <f aca="false">E15*H15</f>
        <v>66</v>
      </c>
      <c r="J15" s="23" t="n">
        <f aca="false">INDEX(Assumptions!$C$5:$C$13,MATCH(F15,Assumptions!$A$5:$A$13,0))</f>
        <v>135</v>
      </c>
      <c r="K15" s="24" t="n">
        <f aca="false">I15*J15</f>
        <v>8910</v>
      </c>
      <c r="L15" s="13" t="s">
        <v>495</v>
      </c>
    </row>
    <row r="16" customFormat="false" ht="39.55" hidden="false" customHeight="false" outlineLevel="0" collapsed="false">
      <c r="A16" s="13" t="s">
        <v>482</v>
      </c>
      <c r="B16" s="13" t="s">
        <v>489</v>
      </c>
      <c r="C16" s="19" t="n">
        <v>46349</v>
      </c>
      <c r="D16" s="19" t="n">
        <v>46444</v>
      </c>
      <c r="E16" s="13" t="n">
        <f aca="false">NETWORKDAYS(C16,D16,Assumptions!$A$16:$A$19)</f>
        <v>66</v>
      </c>
      <c r="F16" s="13" t="s">
        <v>50</v>
      </c>
      <c r="G16" s="20" t="str">
        <f aca="false">INDEX(Assumptions!$B$5:$B$13,MATCH(F16,Assumptions!$A$5:$A$13,0))</f>
        <v>Frappe developer – reports, dashboards, document templates</v>
      </c>
      <c r="H16" s="21" t="n">
        <v>1</v>
      </c>
      <c r="I16" s="22" t="n">
        <f aca="false">E16*H16</f>
        <v>66</v>
      </c>
      <c r="J16" s="23" t="n">
        <f aca="false">INDEX(Assumptions!$C$5:$C$13,MATCH(F16,Assumptions!$A$5:$A$13,0))</f>
        <v>135</v>
      </c>
      <c r="K16" s="24" t="n">
        <f aca="false">I16*J16</f>
        <v>8910</v>
      </c>
      <c r="L16" s="13" t="s">
        <v>496</v>
      </c>
    </row>
    <row r="17" customFormat="false" ht="26.85" hidden="false" customHeight="false" outlineLevel="0" collapsed="false">
      <c r="A17" s="13" t="s">
        <v>482</v>
      </c>
      <c r="B17" s="13" t="s">
        <v>489</v>
      </c>
      <c r="C17" s="19" t="n">
        <v>46349</v>
      </c>
      <c r="D17" s="19" t="n">
        <v>46444</v>
      </c>
      <c r="E17" s="13" t="n">
        <f aca="false">NETWORKDAYS(C17,D17,Assumptions!$A$16:$A$19)</f>
        <v>66</v>
      </c>
      <c r="F17" s="13" t="s">
        <v>52</v>
      </c>
      <c r="G17" s="20" t="str">
        <f aca="false">INDEX(Assumptions!$B$5:$B$13,MATCH(F17,Assumptions!$A$5:$A$13,0))</f>
        <v>QA and test engineer</v>
      </c>
      <c r="H17" s="21" t="n">
        <v>0.4</v>
      </c>
      <c r="I17" s="22" t="n">
        <f aca="false">E17*H17</f>
        <v>26.4</v>
      </c>
      <c r="J17" s="23" t="n">
        <f aca="false">INDEX(Assumptions!$C$5:$C$13,MATCH(F17,Assumptions!$A$5:$A$13,0))</f>
        <v>120</v>
      </c>
      <c r="K17" s="24" t="n">
        <f aca="false">I17*J17</f>
        <v>3168</v>
      </c>
      <c r="L17" s="13" t="s">
        <v>497</v>
      </c>
    </row>
    <row r="18" customFormat="false" ht="26.85" hidden="false" customHeight="false" outlineLevel="0" collapsed="false">
      <c r="A18" s="13" t="s">
        <v>482</v>
      </c>
      <c r="B18" s="13" t="s">
        <v>489</v>
      </c>
      <c r="C18" s="19" t="n">
        <v>46349</v>
      </c>
      <c r="D18" s="19" t="n">
        <v>46444</v>
      </c>
      <c r="E18" s="13" t="n">
        <f aca="false">NETWORKDAYS(C18,D18,Assumptions!$A$16:$A$19)</f>
        <v>66</v>
      </c>
      <c r="F18" s="13" t="s">
        <v>54</v>
      </c>
      <c r="G18" s="20" t="str">
        <f aca="false">INDEX(Assumptions!$B$5:$B$13,MATCH(F18,Assumptions!$A$5:$A$13,0))</f>
        <v>DevOps and security engineer</v>
      </c>
      <c r="H18" s="21" t="n">
        <v>0.05</v>
      </c>
      <c r="I18" s="22" t="n">
        <f aca="false">E18*H18</f>
        <v>3.3</v>
      </c>
      <c r="J18" s="23" t="n">
        <f aca="false">INDEX(Assumptions!$C$5:$C$13,MATCH(F18,Assumptions!$A$5:$A$13,0))</f>
        <v>180</v>
      </c>
      <c r="K18" s="24" t="n">
        <f aca="false">I18*J18</f>
        <v>594</v>
      </c>
      <c r="L18" s="13" t="s">
        <v>498</v>
      </c>
    </row>
    <row r="19" customFormat="false" ht="26.85" hidden="false" customHeight="false" outlineLevel="0" collapsed="false">
      <c r="A19" s="13" t="s">
        <v>482</v>
      </c>
      <c r="B19" s="13" t="s">
        <v>499</v>
      </c>
      <c r="C19" s="19" t="n">
        <v>46447</v>
      </c>
      <c r="D19" s="19" t="n">
        <v>46458</v>
      </c>
      <c r="E19" s="13" t="n">
        <f aca="false">NETWORKDAYS(C19,D19,Assumptions!$A$16:$A$19)</f>
        <v>10</v>
      </c>
      <c r="F19" s="13" t="s">
        <v>38</v>
      </c>
      <c r="G19" s="20" t="str">
        <f aca="false">INDEX(Assumptions!$B$5:$B$13,MATCH(F19,Assumptions!$A$5:$A$13,0))</f>
        <v>Engagement lead and solution architect (named lead)</v>
      </c>
      <c r="H19" s="21" t="n">
        <v>0.3</v>
      </c>
      <c r="I19" s="22" t="n">
        <f aca="false">E19*H19</f>
        <v>3</v>
      </c>
      <c r="J19" s="23" t="n">
        <f aca="false">INDEX(Assumptions!$C$5:$C$13,MATCH(F19,Assumptions!$A$5:$A$13,0))</f>
        <v>280</v>
      </c>
      <c r="K19" s="24" t="n">
        <f aca="false">I19*J19</f>
        <v>840</v>
      </c>
      <c r="L19" s="13" t="s">
        <v>500</v>
      </c>
    </row>
    <row r="20" customFormat="false" ht="26.85" hidden="false" customHeight="false" outlineLevel="0" collapsed="false">
      <c r="A20" s="13" t="s">
        <v>482</v>
      </c>
      <c r="B20" s="13" t="s">
        <v>499</v>
      </c>
      <c r="C20" s="19" t="n">
        <v>46447</v>
      </c>
      <c r="D20" s="19" t="n">
        <v>46458</v>
      </c>
      <c r="E20" s="13" t="n">
        <f aca="false">NETWORKDAYS(C20,D20,Assumptions!$A$16:$A$19)</f>
        <v>10</v>
      </c>
      <c r="F20" s="13" t="s">
        <v>40</v>
      </c>
      <c r="G20" s="20" t="str">
        <f aca="false">INDEX(Assumptions!$B$5:$B$13,MATCH(F20,Assumptions!$A$5:$A$13,0))</f>
        <v>Functional consultant – investment and finance</v>
      </c>
      <c r="H20" s="21" t="n">
        <v>0.4</v>
      </c>
      <c r="I20" s="22" t="n">
        <f aca="false">E20*H20</f>
        <v>4</v>
      </c>
      <c r="J20" s="23" t="n">
        <f aca="false">INDEX(Assumptions!$C$5:$C$13,MATCH(F20,Assumptions!$A$5:$A$13,0))</f>
        <v>230</v>
      </c>
      <c r="K20" s="24" t="n">
        <f aca="false">I20*J20</f>
        <v>920</v>
      </c>
      <c r="L20" s="13" t="s">
        <v>501</v>
      </c>
    </row>
    <row r="21" customFormat="false" ht="26.85" hidden="false" customHeight="false" outlineLevel="0" collapsed="false">
      <c r="A21" s="13" t="s">
        <v>482</v>
      </c>
      <c r="B21" s="13" t="s">
        <v>499</v>
      </c>
      <c r="C21" s="19" t="n">
        <v>46447</v>
      </c>
      <c r="D21" s="19" t="n">
        <v>46458</v>
      </c>
      <c r="E21" s="13" t="n">
        <f aca="false">NETWORKDAYS(C21,D21,Assumptions!$A$16:$A$19)</f>
        <v>10</v>
      </c>
      <c r="F21" s="13" t="s">
        <v>42</v>
      </c>
      <c r="G21" s="20" t="str">
        <f aca="false">INDEX(Assumptions!$B$5:$B$13,MATCH(F21,Assumptions!$A$5:$A$13,0))</f>
        <v>Lead Frappe developer – platform core and controls</v>
      </c>
      <c r="H21" s="21" t="n">
        <v>1</v>
      </c>
      <c r="I21" s="22" t="n">
        <f aca="false">E21*H21</f>
        <v>10</v>
      </c>
      <c r="J21" s="23" t="n">
        <f aca="false">INDEX(Assumptions!$C$5:$C$13,MATCH(F21,Assumptions!$A$5:$A$13,0))</f>
        <v>180</v>
      </c>
      <c r="K21" s="24" t="n">
        <f aca="false">I21*J21</f>
        <v>1800</v>
      </c>
      <c r="L21" s="13" t="s">
        <v>502</v>
      </c>
    </row>
    <row r="22" customFormat="false" ht="26.85" hidden="false" customHeight="false" outlineLevel="0" collapsed="false">
      <c r="A22" s="13" t="s">
        <v>482</v>
      </c>
      <c r="B22" s="13" t="s">
        <v>499</v>
      </c>
      <c r="C22" s="19" t="n">
        <v>46447</v>
      </c>
      <c r="D22" s="19" t="n">
        <v>46458</v>
      </c>
      <c r="E22" s="13" t="n">
        <f aca="false">NETWORKDAYS(C22,D22,Assumptions!$A$16:$A$19)</f>
        <v>10</v>
      </c>
      <c r="F22" s="13" t="s">
        <v>44</v>
      </c>
      <c r="G22" s="20" t="str">
        <f aca="false">INDEX(Assumptions!$B$5:$B$13,MATCH(F22,Assumptions!$A$5:$A$13,0))</f>
        <v>Senior Frappe developer – finance and integrations</v>
      </c>
      <c r="H22" s="21" t="n">
        <v>0.7</v>
      </c>
      <c r="I22" s="22" t="n">
        <f aca="false">E22*H22</f>
        <v>7</v>
      </c>
      <c r="J22" s="23" t="n">
        <f aca="false">INDEX(Assumptions!$C$5:$C$13,MATCH(F22,Assumptions!$A$5:$A$13,0))</f>
        <v>180</v>
      </c>
      <c r="K22" s="24" t="n">
        <f aca="false">I22*J22</f>
        <v>1260</v>
      </c>
      <c r="L22" s="13" t="s">
        <v>503</v>
      </c>
    </row>
    <row r="23" customFormat="false" ht="26.85" hidden="false" customHeight="false" outlineLevel="0" collapsed="false">
      <c r="A23" s="13" t="s">
        <v>482</v>
      </c>
      <c r="B23" s="13" t="s">
        <v>499</v>
      </c>
      <c r="C23" s="19" t="n">
        <v>46447</v>
      </c>
      <c r="D23" s="19" t="n">
        <v>46458</v>
      </c>
      <c r="E23" s="13" t="n">
        <f aca="false">NETWORKDAYS(C23,D23,Assumptions!$A$16:$A$19)</f>
        <v>10</v>
      </c>
      <c r="F23" s="13" t="s">
        <v>46</v>
      </c>
      <c r="G23" s="20" t="str">
        <f aca="false">INDEX(Assumptions!$B$5:$B$13,MATCH(F23,Assumptions!$A$5:$A$13,0))</f>
        <v>Frappe developer – governance and compliance</v>
      </c>
      <c r="H23" s="21" t="n">
        <v>0.7</v>
      </c>
      <c r="I23" s="22" t="n">
        <f aca="false">E23*H23</f>
        <v>7</v>
      </c>
      <c r="J23" s="23" t="n">
        <f aca="false">INDEX(Assumptions!$C$5:$C$13,MATCH(F23,Assumptions!$A$5:$A$13,0))</f>
        <v>135</v>
      </c>
      <c r="K23" s="24" t="n">
        <f aca="false">I23*J23</f>
        <v>945</v>
      </c>
      <c r="L23" s="13" t="s">
        <v>504</v>
      </c>
    </row>
    <row r="24" customFormat="false" ht="26.85" hidden="false" customHeight="false" outlineLevel="0" collapsed="false">
      <c r="A24" s="13" t="s">
        <v>482</v>
      </c>
      <c r="B24" s="13" t="s">
        <v>499</v>
      </c>
      <c r="C24" s="19" t="n">
        <v>46447</v>
      </c>
      <c r="D24" s="19" t="n">
        <v>46458</v>
      </c>
      <c r="E24" s="13" t="n">
        <f aca="false">NETWORKDAYS(C24,D24,Assumptions!$A$16:$A$19)</f>
        <v>10</v>
      </c>
      <c r="F24" s="13" t="s">
        <v>48</v>
      </c>
      <c r="G24" s="20" t="str">
        <f aca="false">INDEX(Assumptions!$B$5:$B$13,MATCH(F24,Assumptions!$A$5:$A$13,0))</f>
        <v>Frappe developer – procurement, travel, Consultants, KYC</v>
      </c>
      <c r="H24" s="21" t="n">
        <v>0.3</v>
      </c>
      <c r="I24" s="22" t="n">
        <f aca="false">E24*H24</f>
        <v>3</v>
      </c>
      <c r="J24" s="23" t="n">
        <f aca="false">INDEX(Assumptions!$C$5:$C$13,MATCH(F24,Assumptions!$A$5:$A$13,0))</f>
        <v>135</v>
      </c>
      <c r="K24" s="24" t="n">
        <f aca="false">I24*J24</f>
        <v>405</v>
      </c>
      <c r="L24" s="13" t="s">
        <v>505</v>
      </c>
    </row>
    <row r="25" customFormat="false" ht="26.85" hidden="false" customHeight="false" outlineLevel="0" collapsed="false">
      <c r="A25" s="13" t="s">
        <v>482</v>
      </c>
      <c r="B25" s="13" t="s">
        <v>499</v>
      </c>
      <c r="C25" s="19" t="n">
        <v>46447</v>
      </c>
      <c r="D25" s="19" t="n">
        <v>46458</v>
      </c>
      <c r="E25" s="13" t="n">
        <f aca="false">NETWORKDAYS(C25,D25,Assumptions!$A$16:$A$19)</f>
        <v>10</v>
      </c>
      <c r="F25" s="13" t="s">
        <v>50</v>
      </c>
      <c r="G25" s="20" t="str">
        <f aca="false">INDEX(Assumptions!$B$5:$B$13,MATCH(F25,Assumptions!$A$5:$A$13,0))</f>
        <v>Frappe developer – reports, dashboards, document templates</v>
      </c>
      <c r="H25" s="21" t="n">
        <v>0.3</v>
      </c>
      <c r="I25" s="22" t="n">
        <f aca="false">E25*H25</f>
        <v>3</v>
      </c>
      <c r="J25" s="23" t="n">
        <f aca="false">INDEX(Assumptions!$C$5:$C$13,MATCH(F25,Assumptions!$A$5:$A$13,0))</f>
        <v>135</v>
      </c>
      <c r="K25" s="24" t="n">
        <f aca="false">I25*J25</f>
        <v>405</v>
      </c>
      <c r="L25" s="13" t="s">
        <v>506</v>
      </c>
    </row>
    <row r="26" customFormat="false" ht="26.85" hidden="false" customHeight="false" outlineLevel="0" collapsed="false">
      <c r="A26" s="13" t="s">
        <v>482</v>
      </c>
      <c r="B26" s="13" t="s">
        <v>499</v>
      </c>
      <c r="C26" s="19" t="n">
        <v>46447</v>
      </c>
      <c r="D26" s="19" t="n">
        <v>46458</v>
      </c>
      <c r="E26" s="13" t="n">
        <f aca="false">NETWORKDAYS(C26,D26,Assumptions!$A$16:$A$19)</f>
        <v>10</v>
      </c>
      <c r="F26" s="13" t="s">
        <v>52</v>
      </c>
      <c r="G26" s="20" t="str">
        <f aca="false">INDEX(Assumptions!$B$5:$B$13,MATCH(F26,Assumptions!$A$5:$A$13,0))</f>
        <v>QA and test engineer</v>
      </c>
      <c r="H26" s="21" t="n">
        <v>1</v>
      </c>
      <c r="I26" s="22" t="n">
        <f aca="false">E26*H26</f>
        <v>10</v>
      </c>
      <c r="J26" s="23" t="n">
        <f aca="false">INDEX(Assumptions!$C$5:$C$13,MATCH(F26,Assumptions!$A$5:$A$13,0))</f>
        <v>120</v>
      </c>
      <c r="K26" s="24" t="n">
        <f aca="false">I26*J26</f>
        <v>1200</v>
      </c>
      <c r="L26" s="13" t="s">
        <v>507</v>
      </c>
    </row>
    <row r="27" customFormat="false" ht="26.85" hidden="false" customHeight="false" outlineLevel="0" collapsed="false">
      <c r="A27" s="13" t="s">
        <v>482</v>
      </c>
      <c r="B27" s="13" t="s">
        <v>499</v>
      </c>
      <c r="C27" s="19" t="n">
        <v>46447</v>
      </c>
      <c r="D27" s="19" t="n">
        <v>46458</v>
      </c>
      <c r="E27" s="13" t="n">
        <f aca="false">NETWORKDAYS(C27,D27,Assumptions!$A$16:$A$19)</f>
        <v>10</v>
      </c>
      <c r="F27" s="13" t="s">
        <v>54</v>
      </c>
      <c r="G27" s="20" t="str">
        <f aca="false">INDEX(Assumptions!$B$5:$B$13,MATCH(F27,Assumptions!$A$5:$A$13,0))</f>
        <v>DevOps and security engineer</v>
      </c>
      <c r="H27" s="21" t="n">
        <v>0.3</v>
      </c>
      <c r="I27" s="22" t="n">
        <f aca="false">E27*H27</f>
        <v>3</v>
      </c>
      <c r="J27" s="23" t="n">
        <f aca="false">INDEX(Assumptions!$C$5:$C$13,MATCH(F27,Assumptions!$A$5:$A$13,0))</f>
        <v>180</v>
      </c>
      <c r="K27" s="24" t="n">
        <f aca="false">I27*J27</f>
        <v>540</v>
      </c>
      <c r="L27" s="13" t="s">
        <v>508</v>
      </c>
    </row>
    <row r="28" customFormat="false" ht="26.85" hidden="false" customHeight="false" outlineLevel="0" collapsed="false">
      <c r="A28" s="13" t="s">
        <v>482</v>
      </c>
      <c r="B28" s="13" t="s">
        <v>509</v>
      </c>
      <c r="C28" s="19" t="n">
        <v>46461</v>
      </c>
      <c r="D28" s="19" t="n">
        <v>46479</v>
      </c>
      <c r="E28" s="13" t="n">
        <f aca="false">NETWORKDAYS(C28,D28,Assumptions!$A$16:$A$19)</f>
        <v>15</v>
      </c>
      <c r="F28" s="13" t="s">
        <v>38</v>
      </c>
      <c r="G28" s="20" t="str">
        <f aca="false">INDEX(Assumptions!$B$5:$B$13,MATCH(F28,Assumptions!$A$5:$A$13,0))</f>
        <v>Engagement lead and solution architect (named lead)</v>
      </c>
      <c r="H28" s="21" t="n">
        <v>0.3</v>
      </c>
      <c r="I28" s="22" t="n">
        <f aca="false">E28*H28</f>
        <v>4.5</v>
      </c>
      <c r="J28" s="23" t="n">
        <f aca="false">INDEX(Assumptions!$C$5:$C$13,MATCH(F28,Assumptions!$A$5:$A$13,0))</f>
        <v>280</v>
      </c>
      <c r="K28" s="24" t="n">
        <f aca="false">I28*J28</f>
        <v>1260</v>
      </c>
      <c r="L28" s="13" t="s">
        <v>510</v>
      </c>
    </row>
    <row r="29" customFormat="false" ht="26.85" hidden="false" customHeight="false" outlineLevel="0" collapsed="false">
      <c r="A29" s="13" t="s">
        <v>482</v>
      </c>
      <c r="B29" s="13" t="s">
        <v>509</v>
      </c>
      <c r="C29" s="19" t="n">
        <v>46461</v>
      </c>
      <c r="D29" s="19" t="n">
        <v>46479</v>
      </c>
      <c r="E29" s="13" t="n">
        <f aca="false">NETWORKDAYS(C29,D29,Assumptions!$A$16:$A$19)</f>
        <v>15</v>
      </c>
      <c r="F29" s="13" t="s">
        <v>40</v>
      </c>
      <c r="G29" s="20" t="str">
        <f aca="false">INDEX(Assumptions!$B$5:$B$13,MATCH(F29,Assumptions!$A$5:$A$13,0))</f>
        <v>Functional consultant – investment and finance</v>
      </c>
      <c r="H29" s="21" t="n">
        <v>0.8</v>
      </c>
      <c r="I29" s="22" t="n">
        <f aca="false">E29*H29</f>
        <v>12</v>
      </c>
      <c r="J29" s="23" t="n">
        <f aca="false">INDEX(Assumptions!$C$5:$C$13,MATCH(F29,Assumptions!$A$5:$A$13,0))</f>
        <v>230</v>
      </c>
      <c r="K29" s="24" t="n">
        <f aca="false">I29*J29</f>
        <v>2760</v>
      </c>
      <c r="L29" s="13" t="s">
        <v>511</v>
      </c>
    </row>
    <row r="30" customFormat="false" ht="26.85" hidden="false" customHeight="false" outlineLevel="0" collapsed="false">
      <c r="A30" s="13" t="s">
        <v>482</v>
      </c>
      <c r="B30" s="13" t="s">
        <v>509</v>
      </c>
      <c r="C30" s="19" t="n">
        <v>46461</v>
      </c>
      <c r="D30" s="19" t="n">
        <v>46479</v>
      </c>
      <c r="E30" s="13" t="n">
        <f aca="false">NETWORKDAYS(C30,D30,Assumptions!$A$16:$A$19)</f>
        <v>15</v>
      </c>
      <c r="F30" s="13" t="s">
        <v>42</v>
      </c>
      <c r="G30" s="20" t="str">
        <f aca="false">INDEX(Assumptions!$B$5:$B$13,MATCH(F30,Assumptions!$A$5:$A$13,0))</f>
        <v>Lead Frappe developer – platform core and controls</v>
      </c>
      <c r="H30" s="21" t="n">
        <v>0.4</v>
      </c>
      <c r="I30" s="22" t="n">
        <f aca="false">E30*H30</f>
        <v>6</v>
      </c>
      <c r="J30" s="23" t="n">
        <f aca="false">INDEX(Assumptions!$C$5:$C$13,MATCH(F30,Assumptions!$A$5:$A$13,0))</f>
        <v>180</v>
      </c>
      <c r="K30" s="24" t="n">
        <f aca="false">I30*J30</f>
        <v>1080</v>
      </c>
      <c r="L30" s="13" t="s">
        <v>512</v>
      </c>
    </row>
    <row r="31" customFormat="false" ht="26.85" hidden="false" customHeight="false" outlineLevel="0" collapsed="false">
      <c r="A31" s="13" t="s">
        <v>482</v>
      </c>
      <c r="B31" s="13" t="s">
        <v>509</v>
      </c>
      <c r="C31" s="19" t="n">
        <v>46461</v>
      </c>
      <c r="D31" s="19" t="n">
        <v>46479</v>
      </c>
      <c r="E31" s="13" t="n">
        <f aca="false">NETWORKDAYS(C31,D31,Assumptions!$A$16:$A$19)</f>
        <v>15</v>
      </c>
      <c r="F31" s="13" t="s">
        <v>44</v>
      </c>
      <c r="G31" s="20" t="str">
        <f aca="false">INDEX(Assumptions!$B$5:$B$13,MATCH(F31,Assumptions!$A$5:$A$13,0))</f>
        <v>Senior Frappe developer – finance and integrations</v>
      </c>
      <c r="H31" s="21" t="n">
        <v>0.2</v>
      </c>
      <c r="I31" s="22" t="n">
        <f aca="false">E31*H31</f>
        <v>3</v>
      </c>
      <c r="J31" s="23" t="n">
        <f aca="false">INDEX(Assumptions!$C$5:$C$13,MATCH(F31,Assumptions!$A$5:$A$13,0))</f>
        <v>180</v>
      </c>
      <c r="K31" s="24" t="n">
        <f aca="false">I31*J31</f>
        <v>540</v>
      </c>
      <c r="L31" s="13" t="s">
        <v>513</v>
      </c>
    </row>
    <row r="32" customFormat="false" ht="26.85" hidden="false" customHeight="false" outlineLevel="0" collapsed="false">
      <c r="A32" s="13" t="s">
        <v>482</v>
      </c>
      <c r="B32" s="13" t="s">
        <v>509</v>
      </c>
      <c r="C32" s="19" t="n">
        <v>46461</v>
      </c>
      <c r="D32" s="19" t="n">
        <v>46479</v>
      </c>
      <c r="E32" s="13" t="n">
        <f aca="false">NETWORKDAYS(C32,D32,Assumptions!$A$16:$A$19)</f>
        <v>15</v>
      </c>
      <c r="F32" s="13" t="s">
        <v>46</v>
      </c>
      <c r="G32" s="20" t="str">
        <f aca="false">INDEX(Assumptions!$B$5:$B$13,MATCH(F32,Assumptions!$A$5:$A$13,0))</f>
        <v>Frappe developer – governance and compliance</v>
      </c>
      <c r="H32" s="21" t="n">
        <v>0.3</v>
      </c>
      <c r="I32" s="22" t="n">
        <f aca="false">E32*H32</f>
        <v>4.5</v>
      </c>
      <c r="J32" s="23" t="n">
        <f aca="false">INDEX(Assumptions!$C$5:$C$13,MATCH(F32,Assumptions!$A$5:$A$13,0))</f>
        <v>135</v>
      </c>
      <c r="K32" s="24" t="n">
        <f aca="false">I32*J32</f>
        <v>607.5</v>
      </c>
      <c r="L32" s="13" t="s">
        <v>514</v>
      </c>
    </row>
    <row r="33" customFormat="false" ht="26.85" hidden="false" customHeight="false" outlineLevel="0" collapsed="false">
      <c r="A33" s="13" t="s">
        <v>482</v>
      </c>
      <c r="B33" s="13" t="s">
        <v>509</v>
      </c>
      <c r="C33" s="19" t="n">
        <v>46461</v>
      </c>
      <c r="D33" s="19" t="n">
        <v>46479</v>
      </c>
      <c r="E33" s="13" t="n">
        <f aca="false">NETWORKDAYS(C33,D33,Assumptions!$A$16:$A$19)</f>
        <v>15</v>
      </c>
      <c r="F33" s="13" t="s">
        <v>52</v>
      </c>
      <c r="G33" s="20" t="str">
        <f aca="false">INDEX(Assumptions!$B$5:$B$13,MATCH(F33,Assumptions!$A$5:$A$13,0))</f>
        <v>QA and test engineer</v>
      </c>
      <c r="H33" s="21" t="n">
        <v>0.6</v>
      </c>
      <c r="I33" s="22" t="n">
        <f aca="false">E33*H33</f>
        <v>9</v>
      </c>
      <c r="J33" s="23" t="n">
        <f aca="false">INDEX(Assumptions!$C$5:$C$13,MATCH(F33,Assumptions!$A$5:$A$13,0))</f>
        <v>120</v>
      </c>
      <c r="K33" s="24" t="n">
        <f aca="false">I33*J33</f>
        <v>1080</v>
      </c>
      <c r="L33" s="13" t="s">
        <v>515</v>
      </c>
    </row>
    <row r="34" customFormat="false" ht="26.85" hidden="false" customHeight="false" outlineLevel="0" collapsed="false">
      <c r="A34" s="13" t="s">
        <v>482</v>
      </c>
      <c r="B34" s="13" t="s">
        <v>509</v>
      </c>
      <c r="C34" s="19" t="n">
        <v>46461</v>
      </c>
      <c r="D34" s="19" t="n">
        <v>46479</v>
      </c>
      <c r="E34" s="13" t="n">
        <f aca="false">NETWORKDAYS(C34,D34,Assumptions!$A$16:$A$19)</f>
        <v>15</v>
      </c>
      <c r="F34" s="13" t="s">
        <v>54</v>
      </c>
      <c r="G34" s="20" t="str">
        <f aca="false">INDEX(Assumptions!$B$5:$B$13,MATCH(F34,Assumptions!$A$5:$A$13,0))</f>
        <v>DevOps and security engineer</v>
      </c>
      <c r="H34" s="21" t="n">
        <v>0.1</v>
      </c>
      <c r="I34" s="22" t="n">
        <f aca="false">E34*H34</f>
        <v>1.5</v>
      </c>
      <c r="J34" s="23" t="n">
        <f aca="false">INDEX(Assumptions!$C$5:$C$13,MATCH(F34,Assumptions!$A$5:$A$13,0))</f>
        <v>180</v>
      </c>
      <c r="K34" s="24" t="n">
        <f aca="false">I34*J34</f>
        <v>270</v>
      </c>
      <c r="L34" s="13" t="s">
        <v>516</v>
      </c>
    </row>
    <row r="35" customFormat="false" ht="26.85" hidden="false" customHeight="false" outlineLevel="0" collapsed="false">
      <c r="A35" s="13" t="s">
        <v>482</v>
      </c>
      <c r="B35" s="13" t="s">
        <v>517</v>
      </c>
      <c r="C35" s="19" t="n">
        <v>46482</v>
      </c>
      <c r="D35" s="19" t="n">
        <v>46493</v>
      </c>
      <c r="E35" s="13" t="n">
        <f aca="false">NETWORKDAYS(C35,D35,Assumptions!$A$16:$A$19)</f>
        <v>10</v>
      </c>
      <c r="F35" s="13" t="s">
        <v>38</v>
      </c>
      <c r="G35" s="20" t="str">
        <f aca="false">INDEX(Assumptions!$B$5:$B$13,MATCH(F35,Assumptions!$A$5:$A$13,0))</f>
        <v>Engagement lead and solution architect (named lead)</v>
      </c>
      <c r="H35" s="21" t="n">
        <v>0.2</v>
      </c>
      <c r="I35" s="22" t="n">
        <f aca="false">E35*H35</f>
        <v>2</v>
      </c>
      <c r="J35" s="23" t="n">
        <f aca="false">INDEX(Assumptions!$C$5:$C$13,MATCH(F35,Assumptions!$A$5:$A$13,0))</f>
        <v>280</v>
      </c>
      <c r="K35" s="24" t="n">
        <f aca="false">I35*J35</f>
        <v>560</v>
      </c>
      <c r="L35" s="13" t="s">
        <v>518</v>
      </c>
    </row>
    <row r="36" customFormat="false" ht="26.85" hidden="false" customHeight="false" outlineLevel="0" collapsed="false">
      <c r="A36" s="13" t="s">
        <v>482</v>
      </c>
      <c r="B36" s="13" t="s">
        <v>517</v>
      </c>
      <c r="C36" s="19" t="n">
        <v>46482</v>
      </c>
      <c r="D36" s="19" t="n">
        <v>46493</v>
      </c>
      <c r="E36" s="13" t="n">
        <f aca="false">NETWORKDAYS(C36,D36,Assumptions!$A$16:$A$19)</f>
        <v>10</v>
      </c>
      <c r="F36" s="13" t="s">
        <v>40</v>
      </c>
      <c r="G36" s="20" t="str">
        <f aca="false">INDEX(Assumptions!$B$5:$B$13,MATCH(F36,Assumptions!$A$5:$A$13,0))</f>
        <v>Functional consultant – investment and finance</v>
      </c>
      <c r="H36" s="21" t="n">
        <v>0.4</v>
      </c>
      <c r="I36" s="22" t="n">
        <f aca="false">E36*H36</f>
        <v>4</v>
      </c>
      <c r="J36" s="23" t="n">
        <f aca="false">INDEX(Assumptions!$C$5:$C$13,MATCH(F36,Assumptions!$A$5:$A$13,0))</f>
        <v>230</v>
      </c>
      <c r="K36" s="24" t="n">
        <f aca="false">I36*J36</f>
        <v>920</v>
      </c>
      <c r="L36" s="13" t="s">
        <v>519</v>
      </c>
    </row>
    <row r="37" customFormat="false" ht="26.85" hidden="false" customHeight="false" outlineLevel="0" collapsed="false">
      <c r="A37" s="13" t="s">
        <v>482</v>
      </c>
      <c r="B37" s="13" t="s">
        <v>517</v>
      </c>
      <c r="C37" s="19" t="n">
        <v>46482</v>
      </c>
      <c r="D37" s="19" t="n">
        <v>46493</v>
      </c>
      <c r="E37" s="13" t="n">
        <f aca="false">NETWORKDAYS(C37,D37,Assumptions!$A$16:$A$19)</f>
        <v>10</v>
      </c>
      <c r="F37" s="13" t="s">
        <v>42</v>
      </c>
      <c r="G37" s="20" t="str">
        <f aca="false">INDEX(Assumptions!$B$5:$B$13,MATCH(F37,Assumptions!$A$5:$A$13,0))</f>
        <v>Lead Frappe developer – platform core and controls</v>
      </c>
      <c r="H37" s="21" t="n">
        <v>0.4</v>
      </c>
      <c r="I37" s="22" t="n">
        <f aca="false">E37*H37</f>
        <v>4</v>
      </c>
      <c r="J37" s="23" t="n">
        <f aca="false">INDEX(Assumptions!$C$5:$C$13,MATCH(F37,Assumptions!$A$5:$A$13,0))</f>
        <v>180</v>
      </c>
      <c r="K37" s="24" t="n">
        <f aca="false">I37*J37</f>
        <v>720</v>
      </c>
      <c r="L37" s="13" t="s">
        <v>520</v>
      </c>
    </row>
    <row r="38" customFormat="false" ht="26.85" hidden="false" customHeight="false" outlineLevel="0" collapsed="false">
      <c r="A38" s="13" t="s">
        <v>482</v>
      </c>
      <c r="B38" s="13" t="s">
        <v>517</v>
      </c>
      <c r="C38" s="19" t="n">
        <v>46482</v>
      </c>
      <c r="D38" s="19" t="n">
        <v>46493</v>
      </c>
      <c r="E38" s="13" t="n">
        <f aca="false">NETWORKDAYS(C38,D38,Assumptions!$A$16:$A$19)</f>
        <v>10</v>
      </c>
      <c r="F38" s="13" t="s">
        <v>46</v>
      </c>
      <c r="G38" s="20" t="str">
        <f aca="false">INDEX(Assumptions!$B$5:$B$13,MATCH(F38,Assumptions!$A$5:$A$13,0))</f>
        <v>Frappe developer – governance and compliance</v>
      </c>
      <c r="H38" s="21" t="n">
        <v>0.3</v>
      </c>
      <c r="I38" s="22" t="n">
        <f aca="false">E38*H38</f>
        <v>3</v>
      </c>
      <c r="J38" s="23" t="n">
        <f aca="false">INDEX(Assumptions!$C$5:$C$13,MATCH(F38,Assumptions!$A$5:$A$13,0))</f>
        <v>135</v>
      </c>
      <c r="K38" s="24" t="n">
        <f aca="false">I38*J38</f>
        <v>405</v>
      </c>
      <c r="L38" s="13" t="s">
        <v>521</v>
      </c>
    </row>
    <row r="39" customFormat="false" ht="15" hidden="false" customHeight="false" outlineLevel="0" collapsed="false">
      <c r="A39" s="13" t="s">
        <v>482</v>
      </c>
      <c r="B39" s="13" t="s">
        <v>517</v>
      </c>
      <c r="C39" s="19" t="n">
        <v>46482</v>
      </c>
      <c r="D39" s="19" t="n">
        <v>46493</v>
      </c>
      <c r="E39" s="13" t="n">
        <f aca="false">NETWORKDAYS(C39,D39,Assumptions!$A$16:$A$19)</f>
        <v>10</v>
      </c>
      <c r="F39" s="13" t="s">
        <v>52</v>
      </c>
      <c r="G39" s="20" t="str">
        <f aca="false">INDEX(Assumptions!$B$5:$B$13,MATCH(F39,Assumptions!$A$5:$A$13,0))</f>
        <v>QA and test engineer</v>
      </c>
      <c r="H39" s="21" t="n">
        <v>0.1</v>
      </c>
      <c r="I39" s="22" t="n">
        <f aca="false">E39*H39</f>
        <v>1</v>
      </c>
      <c r="J39" s="23" t="n">
        <f aca="false">INDEX(Assumptions!$C$5:$C$13,MATCH(F39,Assumptions!$A$5:$A$13,0))</f>
        <v>120</v>
      </c>
      <c r="K39" s="24" t="n">
        <f aca="false">I39*J39</f>
        <v>120</v>
      </c>
      <c r="L39" s="13" t="s">
        <v>522</v>
      </c>
    </row>
    <row r="40" customFormat="false" ht="15" hidden="false" customHeight="false" outlineLevel="0" collapsed="false">
      <c r="A40" s="13" t="s">
        <v>482</v>
      </c>
      <c r="B40" s="13" t="s">
        <v>517</v>
      </c>
      <c r="C40" s="19" t="n">
        <v>46482</v>
      </c>
      <c r="D40" s="19" t="n">
        <v>46493</v>
      </c>
      <c r="E40" s="13" t="n">
        <f aca="false">NETWORKDAYS(C40,D40,Assumptions!$A$16:$A$19)</f>
        <v>10</v>
      </c>
      <c r="F40" s="13" t="s">
        <v>54</v>
      </c>
      <c r="G40" s="20" t="str">
        <f aca="false">INDEX(Assumptions!$B$5:$B$13,MATCH(F40,Assumptions!$A$5:$A$13,0))</f>
        <v>DevOps and security engineer</v>
      </c>
      <c r="H40" s="21" t="n">
        <v>0.3</v>
      </c>
      <c r="I40" s="22" t="n">
        <f aca="false">E40*H40</f>
        <v>3</v>
      </c>
      <c r="J40" s="23" t="n">
        <f aca="false">INDEX(Assumptions!$C$5:$C$13,MATCH(F40,Assumptions!$A$5:$A$13,0))</f>
        <v>180</v>
      </c>
      <c r="K40" s="24" t="n">
        <f aca="false">I40*J40</f>
        <v>540</v>
      </c>
      <c r="L40" s="13" t="s">
        <v>523</v>
      </c>
    </row>
    <row r="41" customFormat="false" ht="26.85" hidden="false" customHeight="false" outlineLevel="0" collapsed="false">
      <c r="A41" s="13" t="s">
        <v>524</v>
      </c>
      <c r="B41" s="13" t="s">
        <v>483</v>
      </c>
      <c r="C41" s="19" t="n">
        <v>46510</v>
      </c>
      <c r="D41" s="19" t="n">
        <v>46514</v>
      </c>
      <c r="E41" s="13" t="n">
        <f aca="false">NETWORKDAYS(C41,D41,Assumptions!$A$16:$A$19)</f>
        <v>5</v>
      </c>
      <c r="F41" s="13" t="s">
        <v>38</v>
      </c>
      <c r="G41" s="20" t="str">
        <f aca="false">INDEX(Assumptions!$B$5:$B$13,MATCH(F41,Assumptions!$A$5:$A$13,0))</f>
        <v>Engagement lead and solution architect (named lead)</v>
      </c>
      <c r="H41" s="21" t="n">
        <v>0.4</v>
      </c>
      <c r="I41" s="22" t="n">
        <f aca="false">E41*H41</f>
        <v>2</v>
      </c>
      <c r="J41" s="23" t="n">
        <f aca="false">INDEX(Assumptions!$C$5:$C$13,MATCH(F41,Assumptions!$A$5:$A$13,0))</f>
        <v>280</v>
      </c>
      <c r="K41" s="24" t="n">
        <f aca="false">I41*J41</f>
        <v>560</v>
      </c>
      <c r="L41" s="13" t="s">
        <v>525</v>
      </c>
    </row>
    <row r="42" customFormat="false" ht="26.85" hidden="false" customHeight="false" outlineLevel="0" collapsed="false">
      <c r="A42" s="13" t="s">
        <v>524</v>
      </c>
      <c r="B42" s="13" t="s">
        <v>483</v>
      </c>
      <c r="C42" s="19" t="n">
        <v>46510</v>
      </c>
      <c r="D42" s="19" t="n">
        <v>46514</v>
      </c>
      <c r="E42" s="13" t="n">
        <f aca="false">NETWORKDAYS(C42,D42,Assumptions!$A$16:$A$19)</f>
        <v>5</v>
      </c>
      <c r="F42" s="13" t="s">
        <v>40</v>
      </c>
      <c r="G42" s="20" t="str">
        <f aca="false">INDEX(Assumptions!$B$5:$B$13,MATCH(F42,Assumptions!$A$5:$A$13,0))</f>
        <v>Functional consultant – investment and finance</v>
      </c>
      <c r="H42" s="21" t="n">
        <v>1</v>
      </c>
      <c r="I42" s="22" t="n">
        <f aca="false">E42*H42</f>
        <v>5</v>
      </c>
      <c r="J42" s="23" t="n">
        <f aca="false">INDEX(Assumptions!$C$5:$C$13,MATCH(F42,Assumptions!$A$5:$A$13,0))</f>
        <v>230</v>
      </c>
      <c r="K42" s="24" t="n">
        <f aca="false">I42*J42</f>
        <v>1150</v>
      </c>
      <c r="L42" s="13" t="s">
        <v>526</v>
      </c>
    </row>
    <row r="43" customFormat="false" ht="26.85" hidden="false" customHeight="false" outlineLevel="0" collapsed="false">
      <c r="A43" s="13" t="s">
        <v>524</v>
      </c>
      <c r="B43" s="13" t="s">
        <v>483</v>
      </c>
      <c r="C43" s="19" t="n">
        <v>46510</v>
      </c>
      <c r="D43" s="19" t="n">
        <v>46514</v>
      </c>
      <c r="E43" s="13" t="n">
        <f aca="false">NETWORKDAYS(C43,D43,Assumptions!$A$16:$A$19)</f>
        <v>5</v>
      </c>
      <c r="F43" s="13" t="s">
        <v>42</v>
      </c>
      <c r="G43" s="20" t="str">
        <f aca="false">INDEX(Assumptions!$B$5:$B$13,MATCH(F43,Assumptions!$A$5:$A$13,0))</f>
        <v>Lead Frappe developer – platform core and controls</v>
      </c>
      <c r="H43" s="21" t="n">
        <v>0.3</v>
      </c>
      <c r="I43" s="22" t="n">
        <f aca="false">E43*H43</f>
        <v>1.5</v>
      </c>
      <c r="J43" s="23" t="n">
        <f aca="false">INDEX(Assumptions!$C$5:$C$13,MATCH(F43,Assumptions!$A$5:$A$13,0))</f>
        <v>180</v>
      </c>
      <c r="K43" s="24" t="n">
        <f aca="false">I43*J43</f>
        <v>270</v>
      </c>
      <c r="L43" s="13" t="s">
        <v>527</v>
      </c>
    </row>
    <row r="44" customFormat="false" ht="26.85" hidden="false" customHeight="false" outlineLevel="0" collapsed="false">
      <c r="A44" s="13" t="s">
        <v>524</v>
      </c>
      <c r="B44" s="13" t="s">
        <v>489</v>
      </c>
      <c r="C44" s="19" t="n">
        <v>46517</v>
      </c>
      <c r="D44" s="19" t="n">
        <v>46570</v>
      </c>
      <c r="E44" s="13" t="n">
        <f aca="false">NETWORKDAYS(C44,D44,Assumptions!$A$16:$A$19)</f>
        <v>40</v>
      </c>
      <c r="F44" s="13" t="s">
        <v>38</v>
      </c>
      <c r="G44" s="20" t="str">
        <f aca="false">INDEX(Assumptions!$B$5:$B$13,MATCH(F44,Assumptions!$A$5:$A$13,0))</f>
        <v>Engagement lead and solution architect (named lead)</v>
      </c>
      <c r="H44" s="21" t="n">
        <v>0.15</v>
      </c>
      <c r="I44" s="22" t="n">
        <f aca="false">E44*H44</f>
        <v>6</v>
      </c>
      <c r="J44" s="23" t="n">
        <f aca="false">INDEX(Assumptions!$C$5:$C$13,MATCH(F44,Assumptions!$A$5:$A$13,0))</f>
        <v>280</v>
      </c>
      <c r="K44" s="24" t="n">
        <f aca="false">I44*J44</f>
        <v>1680</v>
      </c>
      <c r="L44" s="13" t="s">
        <v>528</v>
      </c>
    </row>
    <row r="45" customFormat="false" ht="26.85" hidden="false" customHeight="false" outlineLevel="0" collapsed="false">
      <c r="A45" s="13" t="s">
        <v>524</v>
      </c>
      <c r="B45" s="13" t="s">
        <v>489</v>
      </c>
      <c r="C45" s="19" t="n">
        <v>46517</v>
      </c>
      <c r="D45" s="19" t="n">
        <v>46570</v>
      </c>
      <c r="E45" s="13" t="n">
        <f aca="false">NETWORKDAYS(C45,D45,Assumptions!$A$16:$A$19)</f>
        <v>40</v>
      </c>
      <c r="F45" s="13" t="s">
        <v>40</v>
      </c>
      <c r="G45" s="20" t="str">
        <f aca="false">INDEX(Assumptions!$B$5:$B$13,MATCH(F45,Assumptions!$A$5:$A$13,0))</f>
        <v>Functional consultant – investment and finance</v>
      </c>
      <c r="H45" s="21" t="n">
        <v>0.4</v>
      </c>
      <c r="I45" s="22" t="n">
        <f aca="false">E45*H45</f>
        <v>16</v>
      </c>
      <c r="J45" s="23" t="n">
        <f aca="false">INDEX(Assumptions!$C$5:$C$13,MATCH(F45,Assumptions!$A$5:$A$13,0))</f>
        <v>230</v>
      </c>
      <c r="K45" s="24" t="n">
        <f aca="false">I45*J45</f>
        <v>3680</v>
      </c>
      <c r="L45" s="13" t="s">
        <v>529</v>
      </c>
    </row>
    <row r="46" customFormat="false" ht="26.85" hidden="false" customHeight="false" outlineLevel="0" collapsed="false">
      <c r="A46" s="13" t="s">
        <v>524</v>
      </c>
      <c r="B46" s="13" t="s">
        <v>489</v>
      </c>
      <c r="C46" s="19" t="n">
        <v>46517</v>
      </c>
      <c r="D46" s="19" t="n">
        <v>46570</v>
      </c>
      <c r="E46" s="13" t="n">
        <f aca="false">NETWORKDAYS(C46,D46,Assumptions!$A$16:$A$19)</f>
        <v>40</v>
      </c>
      <c r="F46" s="13" t="s">
        <v>42</v>
      </c>
      <c r="G46" s="20" t="str">
        <f aca="false">INDEX(Assumptions!$B$5:$B$13,MATCH(F46,Assumptions!$A$5:$A$13,0))</f>
        <v>Lead Frappe developer – platform core and controls</v>
      </c>
      <c r="H46" s="21" t="n">
        <v>1</v>
      </c>
      <c r="I46" s="22" t="n">
        <f aca="false">E46*H46</f>
        <v>40</v>
      </c>
      <c r="J46" s="23" t="n">
        <f aca="false">INDEX(Assumptions!$C$5:$C$13,MATCH(F46,Assumptions!$A$5:$A$13,0))</f>
        <v>180</v>
      </c>
      <c r="K46" s="24" t="n">
        <f aca="false">I46*J46</f>
        <v>7200</v>
      </c>
      <c r="L46" s="13" t="s">
        <v>530</v>
      </c>
    </row>
    <row r="47" customFormat="false" ht="39.55" hidden="false" customHeight="false" outlineLevel="0" collapsed="false">
      <c r="A47" s="13" t="s">
        <v>524</v>
      </c>
      <c r="B47" s="13" t="s">
        <v>489</v>
      </c>
      <c r="C47" s="19" t="n">
        <v>46517</v>
      </c>
      <c r="D47" s="19" t="n">
        <v>46570</v>
      </c>
      <c r="E47" s="13" t="n">
        <f aca="false">NETWORKDAYS(C47,D47,Assumptions!$A$16:$A$19)</f>
        <v>40</v>
      </c>
      <c r="F47" s="13" t="s">
        <v>46</v>
      </c>
      <c r="G47" s="20" t="str">
        <f aca="false">INDEX(Assumptions!$B$5:$B$13,MATCH(F47,Assumptions!$A$5:$A$13,0))</f>
        <v>Frappe developer – governance and compliance</v>
      </c>
      <c r="H47" s="21" t="n">
        <v>1</v>
      </c>
      <c r="I47" s="22" t="n">
        <f aca="false">E47*H47</f>
        <v>40</v>
      </c>
      <c r="J47" s="23" t="n">
        <f aca="false">INDEX(Assumptions!$C$5:$C$13,MATCH(F47,Assumptions!$A$5:$A$13,0))</f>
        <v>135</v>
      </c>
      <c r="K47" s="24" t="n">
        <f aca="false">I47*J47</f>
        <v>5400</v>
      </c>
      <c r="L47" s="13" t="s">
        <v>531</v>
      </c>
    </row>
    <row r="48" customFormat="false" ht="26.85" hidden="false" customHeight="false" outlineLevel="0" collapsed="false">
      <c r="A48" s="13" t="s">
        <v>524</v>
      </c>
      <c r="B48" s="13" t="s">
        <v>489</v>
      </c>
      <c r="C48" s="19" t="n">
        <v>46517</v>
      </c>
      <c r="D48" s="19" t="n">
        <v>46570</v>
      </c>
      <c r="E48" s="13" t="n">
        <f aca="false">NETWORKDAYS(C48,D48,Assumptions!$A$16:$A$19)</f>
        <v>40</v>
      </c>
      <c r="F48" s="13" t="s">
        <v>48</v>
      </c>
      <c r="G48" s="20" t="str">
        <f aca="false">INDEX(Assumptions!$B$5:$B$13,MATCH(F48,Assumptions!$A$5:$A$13,0))</f>
        <v>Frappe developer – procurement, travel, Consultants, KYC</v>
      </c>
      <c r="H48" s="21" t="n">
        <v>1</v>
      </c>
      <c r="I48" s="22" t="n">
        <f aca="false">E48*H48</f>
        <v>40</v>
      </c>
      <c r="J48" s="23" t="n">
        <f aca="false">INDEX(Assumptions!$C$5:$C$13,MATCH(F48,Assumptions!$A$5:$A$13,0))</f>
        <v>135</v>
      </c>
      <c r="K48" s="24" t="n">
        <f aca="false">I48*J48</f>
        <v>5400</v>
      </c>
      <c r="L48" s="13" t="s">
        <v>532</v>
      </c>
    </row>
    <row r="49" customFormat="false" ht="26.85" hidden="false" customHeight="false" outlineLevel="0" collapsed="false">
      <c r="A49" s="13" t="s">
        <v>524</v>
      </c>
      <c r="B49" s="13" t="s">
        <v>489</v>
      </c>
      <c r="C49" s="19" t="n">
        <v>46517</v>
      </c>
      <c r="D49" s="19" t="n">
        <v>46570</v>
      </c>
      <c r="E49" s="13" t="n">
        <f aca="false">NETWORKDAYS(C49,D49,Assumptions!$A$16:$A$19)</f>
        <v>40</v>
      </c>
      <c r="F49" s="13" t="s">
        <v>52</v>
      </c>
      <c r="G49" s="20" t="str">
        <f aca="false">INDEX(Assumptions!$B$5:$B$13,MATCH(F49,Assumptions!$A$5:$A$13,0))</f>
        <v>QA and test engineer</v>
      </c>
      <c r="H49" s="21" t="n">
        <v>0.35</v>
      </c>
      <c r="I49" s="22" t="n">
        <f aca="false">E49*H49</f>
        <v>14</v>
      </c>
      <c r="J49" s="23" t="n">
        <f aca="false">INDEX(Assumptions!$C$5:$C$13,MATCH(F49,Assumptions!$A$5:$A$13,0))</f>
        <v>120</v>
      </c>
      <c r="K49" s="24" t="n">
        <f aca="false">I49*J49</f>
        <v>1680</v>
      </c>
      <c r="L49" s="13" t="s">
        <v>533</v>
      </c>
    </row>
    <row r="50" customFormat="false" ht="26.85" hidden="false" customHeight="false" outlineLevel="0" collapsed="false">
      <c r="A50" s="13" t="s">
        <v>524</v>
      </c>
      <c r="B50" s="13" t="s">
        <v>489</v>
      </c>
      <c r="C50" s="19" t="n">
        <v>46517</v>
      </c>
      <c r="D50" s="19" t="n">
        <v>46570</v>
      </c>
      <c r="E50" s="13" t="n">
        <f aca="false">NETWORKDAYS(C50,D50,Assumptions!$A$16:$A$19)</f>
        <v>40</v>
      </c>
      <c r="F50" s="13" t="s">
        <v>54</v>
      </c>
      <c r="G50" s="20" t="str">
        <f aca="false">INDEX(Assumptions!$B$5:$B$13,MATCH(F50,Assumptions!$A$5:$A$13,0))</f>
        <v>DevOps and security engineer</v>
      </c>
      <c r="H50" s="21" t="n">
        <v>0.05</v>
      </c>
      <c r="I50" s="22" t="n">
        <f aca="false">E50*H50</f>
        <v>2</v>
      </c>
      <c r="J50" s="23" t="n">
        <f aca="false">INDEX(Assumptions!$C$5:$C$13,MATCH(F50,Assumptions!$A$5:$A$13,0))</f>
        <v>180</v>
      </c>
      <c r="K50" s="24" t="n">
        <f aca="false">I50*J50</f>
        <v>360</v>
      </c>
      <c r="L50" s="13" t="s">
        <v>534</v>
      </c>
    </row>
    <row r="51" customFormat="false" ht="26.85" hidden="false" customHeight="false" outlineLevel="0" collapsed="false">
      <c r="A51" s="13" t="s">
        <v>524</v>
      </c>
      <c r="B51" s="13" t="s">
        <v>499</v>
      </c>
      <c r="C51" s="19" t="n">
        <v>46573</v>
      </c>
      <c r="D51" s="19" t="n">
        <v>46577</v>
      </c>
      <c r="E51" s="13" t="n">
        <f aca="false">NETWORKDAYS(C51,D51,Assumptions!$A$16:$A$19)</f>
        <v>5</v>
      </c>
      <c r="F51" s="13" t="s">
        <v>38</v>
      </c>
      <c r="G51" s="20" t="str">
        <f aca="false">INDEX(Assumptions!$B$5:$B$13,MATCH(F51,Assumptions!$A$5:$A$13,0))</f>
        <v>Engagement lead and solution architect (named lead)</v>
      </c>
      <c r="H51" s="21" t="n">
        <v>0.2</v>
      </c>
      <c r="I51" s="22" t="n">
        <f aca="false">E51*H51</f>
        <v>1</v>
      </c>
      <c r="J51" s="23" t="n">
        <f aca="false">INDEX(Assumptions!$C$5:$C$13,MATCH(F51,Assumptions!$A$5:$A$13,0))</f>
        <v>280</v>
      </c>
      <c r="K51" s="24" t="n">
        <f aca="false">I51*J51</f>
        <v>280</v>
      </c>
      <c r="L51" s="13" t="s">
        <v>535</v>
      </c>
    </row>
    <row r="52" customFormat="false" ht="26.85" hidden="false" customHeight="false" outlineLevel="0" collapsed="false">
      <c r="A52" s="13" t="s">
        <v>524</v>
      </c>
      <c r="B52" s="13" t="s">
        <v>499</v>
      </c>
      <c r="C52" s="19" t="n">
        <v>46573</v>
      </c>
      <c r="D52" s="19" t="n">
        <v>46577</v>
      </c>
      <c r="E52" s="13" t="n">
        <f aca="false">NETWORKDAYS(C52,D52,Assumptions!$A$16:$A$19)</f>
        <v>5</v>
      </c>
      <c r="F52" s="13" t="s">
        <v>40</v>
      </c>
      <c r="G52" s="20" t="str">
        <f aca="false">INDEX(Assumptions!$B$5:$B$13,MATCH(F52,Assumptions!$A$5:$A$13,0))</f>
        <v>Functional consultant – investment and finance</v>
      </c>
      <c r="H52" s="21" t="n">
        <v>0.3</v>
      </c>
      <c r="I52" s="22" t="n">
        <f aca="false">E52*H52</f>
        <v>1.5</v>
      </c>
      <c r="J52" s="23" t="n">
        <f aca="false">INDEX(Assumptions!$C$5:$C$13,MATCH(F52,Assumptions!$A$5:$A$13,0))</f>
        <v>230</v>
      </c>
      <c r="K52" s="24" t="n">
        <f aca="false">I52*J52</f>
        <v>345</v>
      </c>
      <c r="L52" s="13" t="s">
        <v>536</v>
      </c>
    </row>
    <row r="53" customFormat="false" ht="26.85" hidden="false" customHeight="false" outlineLevel="0" collapsed="false">
      <c r="A53" s="13" t="s">
        <v>524</v>
      </c>
      <c r="B53" s="13" t="s">
        <v>499</v>
      </c>
      <c r="C53" s="19" t="n">
        <v>46573</v>
      </c>
      <c r="D53" s="19" t="n">
        <v>46577</v>
      </c>
      <c r="E53" s="13" t="n">
        <f aca="false">NETWORKDAYS(C53,D53,Assumptions!$A$16:$A$19)</f>
        <v>5</v>
      </c>
      <c r="F53" s="13" t="s">
        <v>42</v>
      </c>
      <c r="G53" s="20" t="str">
        <f aca="false">INDEX(Assumptions!$B$5:$B$13,MATCH(F53,Assumptions!$A$5:$A$13,0))</f>
        <v>Lead Frappe developer – platform core and controls</v>
      </c>
      <c r="H53" s="21" t="n">
        <v>0.6</v>
      </c>
      <c r="I53" s="22" t="n">
        <f aca="false">E53*H53</f>
        <v>3</v>
      </c>
      <c r="J53" s="23" t="n">
        <f aca="false">INDEX(Assumptions!$C$5:$C$13,MATCH(F53,Assumptions!$A$5:$A$13,0))</f>
        <v>180</v>
      </c>
      <c r="K53" s="24" t="n">
        <f aca="false">I53*J53</f>
        <v>540</v>
      </c>
      <c r="L53" s="13" t="s">
        <v>537</v>
      </c>
    </row>
    <row r="54" customFormat="false" ht="26.85" hidden="false" customHeight="false" outlineLevel="0" collapsed="false">
      <c r="A54" s="13" t="s">
        <v>524</v>
      </c>
      <c r="B54" s="13" t="s">
        <v>499</v>
      </c>
      <c r="C54" s="19" t="n">
        <v>46573</v>
      </c>
      <c r="D54" s="19" t="n">
        <v>46577</v>
      </c>
      <c r="E54" s="13" t="n">
        <f aca="false">NETWORKDAYS(C54,D54,Assumptions!$A$16:$A$19)</f>
        <v>5</v>
      </c>
      <c r="F54" s="13" t="s">
        <v>46</v>
      </c>
      <c r="G54" s="20" t="str">
        <f aca="false">INDEX(Assumptions!$B$5:$B$13,MATCH(F54,Assumptions!$A$5:$A$13,0))</f>
        <v>Frappe developer – governance and compliance</v>
      </c>
      <c r="H54" s="21" t="n">
        <v>0.8</v>
      </c>
      <c r="I54" s="22" t="n">
        <f aca="false">E54*H54</f>
        <v>4</v>
      </c>
      <c r="J54" s="23" t="n">
        <f aca="false">INDEX(Assumptions!$C$5:$C$13,MATCH(F54,Assumptions!$A$5:$A$13,0))</f>
        <v>135</v>
      </c>
      <c r="K54" s="24" t="n">
        <f aca="false">I54*J54</f>
        <v>540</v>
      </c>
      <c r="L54" s="13" t="s">
        <v>538</v>
      </c>
    </row>
    <row r="55" customFormat="false" ht="26.85" hidden="false" customHeight="false" outlineLevel="0" collapsed="false">
      <c r="A55" s="13" t="s">
        <v>524</v>
      </c>
      <c r="B55" s="13" t="s">
        <v>499</v>
      </c>
      <c r="C55" s="19" t="n">
        <v>46573</v>
      </c>
      <c r="D55" s="19" t="n">
        <v>46577</v>
      </c>
      <c r="E55" s="13" t="n">
        <f aca="false">NETWORKDAYS(C55,D55,Assumptions!$A$16:$A$19)</f>
        <v>5</v>
      </c>
      <c r="F55" s="13" t="s">
        <v>48</v>
      </c>
      <c r="G55" s="20" t="str">
        <f aca="false">INDEX(Assumptions!$B$5:$B$13,MATCH(F55,Assumptions!$A$5:$A$13,0))</f>
        <v>Frappe developer – procurement, travel, Consultants, KYC</v>
      </c>
      <c r="H55" s="21" t="n">
        <v>0.4</v>
      </c>
      <c r="I55" s="22" t="n">
        <f aca="false">E55*H55</f>
        <v>2</v>
      </c>
      <c r="J55" s="23" t="n">
        <f aca="false">INDEX(Assumptions!$C$5:$C$13,MATCH(F55,Assumptions!$A$5:$A$13,0))</f>
        <v>135</v>
      </c>
      <c r="K55" s="24" t="n">
        <f aca="false">I55*J55</f>
        <v>270</v>
      </c>
      <c r="L55" s="13" t="s">
        <v>539</v>
      </c>
    </row>
    <row r="56" customFormat="false" ht="15" hidden="false" customHeight="false" outlineLevel="0" collapsed="false">
      <c r="A56" s="13" t="s">
        <v>524</v>
      </c>
      <c r="B56" s="13" t="s">
        <v>499</v>
      </c>
      <c r="C56" s="19" t="n">
        <v>46573</v>
      </c>
      <c r="D56" s="19" t="n">
        <v>46577</v>
      </c>
      <c r="E56" s="13" t="n">
        <f aca="false">NETWORKDAYS(C56,D56,Assumptions!$A$16:$A$19)</f>
        <v>5</v>
      </c>
      <c r="F56" s="13" t="s">
        <v>52</v>
      </c>
      <c r="G56" s="20" t="str">
        <f aca="false">INDEX(Assumptions!$B$5:$B$13,MATCH(F56,Assumptions!$A$5:$A$13,0))</f>
        <v>QA and test engineer</v>
      </c>
      <c r="H56" s="21" t="n">
        <v>1</v>
      </c>
      <c r="I56" s="22" t="n">
        <f aca="false">E56*H56</f>
        <v>5</v>
      </c>
      <c r="J56" s="23" t="n">
        <f aca="false">INDEX(Assumptions!$C$5:$C$13,MATCH(F56,Assumptions!$A$5:$A$13,0))</f>
        <v>120</v>
      </c>
      <c r="K56" s="24" t="n">
        <f aca="false">I56*J56</f>
        <v>600</v>
      </c>
      <c r="L56" s="13" t="s">
        <v>540</v>
      </c>
    </row>
    <row r="57" customFormat="false" ht="15" hidden="false" customHeight="false" outlineLevel="0" collapsed="false">
      <c r="A57" s="13" t="s">
        <v>524</v>
      </c>
      <c r="B57" s="13" t="s">
        <v>499</v>
      </c>
      <c r="C57" s="19" t="n">
        <v>46573</v>
      </c>
      <c r="D57" s="19" t="n">
        <v>46577</v>
      </c>
      <c r="E57" s="13" t="n">
        <f aca="false">NETWORKDAYS(C57,D57,Assumptions!$A$16:$A$19)</f>
        <v>5</v>
      </c>
      <c r="F57" s="13" t="s">
        <v>54</v>
      </c>
      <c r="G57" s="20" t="str">
        <f aca="false">INDEX(Assumptions!$B$5:$B$13,MATCH(F57,Assumptions!$A$5:$A$13,0))</f>
        <v>DevOps and security engineer</v>
      </c>
      <c r="H57" s="21" t="n">
        <v>0.2</v>
      </c>
      <c r="I57" s="22" t="n">
        <f aca="false">E57*H57</f>
        <v>1</v>
      </c>
      <c r="J57" s="23" t="n">
        <f aca="false">INDEX(Assumptions!$C$5:$C$13,MATCH(F57,Assumptions!$A$5:$A$13,0))</f>
        <v>180</v>
      </c>
      <c r="K57" s="24" t="n">
        <f aca="false">I57*J57</f>
        <v>180</v>
      </c>
      <c r="L57" s="13" t="s">
        <v>541</v>
      </c>
    </row>
    <row r="58" customFormat="false" ht="26.85" hidden="false" customHeight="false" outlineLevel="0" collapsed="false">
      <c r="A58" s="13" t="s">
        <v>524</v>
      </c>
      <c r="B58" s="13" t="s">
        <v>509</v>
      </c>
      <c r="C58" s="19" t="n">
        <v>46580</v>
      </c>
      <c r="D58" s="19" t="n">
        <v>46591</v>
      </c>
      <c r="E58" s="13" t="n">
        <f aca="false">NETWORKDAYS(C58,D58,Assumptions!$A$16:$A$19)</f>
        <v>10</v>
      </c>
      <c r="F58" s="13" t="s">
        <v>38</v>
      </c>
      <c r="G58" s="20" t="str">
        <f aca="false">INDEX(Assumptions!$B$5:$B$13,MATCH(F58,Assumptions!$A$5:$A$13,0))</f>
        <v>Engagement lead and solution architect (named lead)</v>
      </c>
      <c r="H58" s="21" t="n">
        <v>0.2</v>
      </c>
      <c r="I58" s="22" t="n">
        <f aca="false">E58*H58</f>
        <v>2</v>
      </c>
      <c r="J58" s="23" t="n">
        <f aca="false">INDEX(Assumptions!$C$5:$C$13,MATCH(F58,Assumptions!$A$5:$A$13,0))</f>
        <v>280</v>
      </c>
      <c r="K58" s="24" t="n">
        <f aca="false">I58*J58</f>
        <v>560</v>
      </c>
      <c r="L58" s="13" t="s">
        <v>542</v>
      </c>
    </row>
    <row r="59" customFormat="false" ht="26.85" hidden="false" customHeight="false" outlineLevel="0" collapsed="false">
      <c r="A59" s="13" t="s">
        <v>524</v>
      </c>
      <c r="B59" s="13" t="s">
        <v>509</v>
      </c>
      <c r="C59" s="19" t="n">
        <v>46580</v>
      </c>
      <c r="D59" s="19" t="n">
        <v>46591</v>
      </c>
      <c r="E59" s="13" t="n">
        <f aca="false">NETWORKDAYS(C59,D59,Assumptions!$A$16:$A$19)</f>
        <v>10</v>
      </c>
      <c r="F59" s="13" t="s">
        <v>40</v>
      </c>
      <c r="G59" s="20" t="str">
        <f aca="false">INDEX(Assumptions!$B$5:$B$13,MATCH(F59,Assumptions!$A$5:$A$13,0))</f>
        <v>Functional consultant – investment and finance</v>
      </c>
      <c r="H59" s="21" t="n">
        <v>0.8</v>
      </c>
      <c r="I59" s="22" t="n">
        <f aca="false">E59*H59</f>
        <v>8</v>
      </c>
      <c r="J59" s="23" t="n">
        <f aca="false">INDEX(Assumptions!$C$5:$C$13,MATCH(F59,Assumptions!$A$5:$A$13,0))</f>
        <v>230</v>
      </c>
      <c r="K59" s="24" t="n">
        <f aca="false">I59*J59</f>
        <v>1840</v>
      </c>
      <c r="L59" s="13" t="s">
        <v>543</v>
      </c>
    </row>
    <row r="60" customFormat="false" ht="26.85" hidden="false" customHeight="false" outlineLevel="0" collapsed="false">
      <c r="A60" s="13" t="s">
        <v>524</v>
      </c>
      <c r="B60" s="13" t="s">
        <v>509</v>
      </c>
      <c r="C60" s="19" t="n">
        <v>46580</v>
      </c>
      <c r="D60" s="19" t="n">
        <v>46591</v>
      </c>
      <c r="E60" s="13" t="n">
        <f aca="false">NETWORKDAYS(C60,D60,Assumptions!$A$16:$A$19)</f>
        <v>10</v>
      </c>
      <c r="F60" s="13" t="s">
        <v>42</v>
      </c>
      <c r="G60" s="20" t="str">
        <f aca="false">INDEX(Assumptions!$B$5:$B$13,MATCH(F60,Assumptions!$A$5:$A$13,0))</f>
        <v>Lead Frappe developer – platform core and controls</v>
      </c>
      <c r="H60" s="21" t="n">
        <v>0.3</v>
      </c>
      <c r="I60" s="22" t="n">
        <f aca="false">E60*H60</f>
        <v>3</v>
      </c>
      <c r="J60" s="23" t="n">
        <f aca="false">INDEX(Assumptions!$C$5:$C$13,MATCH(F60,Assumptions!$A$5:$A$13,0))</f>
        <v>180</v>
      </c>
      <c r="K60" s="24" t="n">
        <f aca="false">I60*J60</f>
        <v>540</v>
      </c>
      <c r="L60" s="13" t="s">
        <v>514</v>
      </c>
    </row>
    <row r="61" customFormat="false" ht="26.85" hidden="false" customHeight="false" outlineLevel="0" collapsed="false">
      <c r="A61" s="13" t="s">
        <v>524</v>
      </c>
      <c r="B61" s="13" t="s">
        <v>509</v>
      </c>
      <c r="C61" s="19" t="n">
        <v>46580</v>
      </c>
      <c r="D61" s="19" t="n">
        <v>46591</v>
      </c>
      <c r="E61" s="13" t="n">
        <f aca="false">NETWORKDAYS(C61,D61,Assumptions!$A$16:$A$19)</f>
        <v>10</v>
      </c>
      <c r="F61" s="13" t="s">
        <v>46</v>
      </c>
      <c r="G61" s="20" t="str">
        <f aca="false">INDEX(Assumptions!$B$5:$B$13,MATCH(F61,Assumptions!$A$5:$A$13,0))</f>
        <v>Frappe developer – governance and compliance</v>
      </c>
      <c r="H61" s="21" t="n">
        <v>0.3</v>
      </c>
      <c r="I61" s="22" t="n">
        <f aca="false">E61*H61</f>
        <v>3</v>
      </c>
      <c r="J61" s="23" t="n">
        <f aca="false">INDEX(Assumptions!$C$5:$C$13,MATCH(F61,Assumptions!$A$5:$A$13,0))</f>
        <v>135</v>
      </c>
      <c r="K61" s="24" t="n">
        <f aca="false">I61*J61</f>
        <v>405</v>
      </c>
      <c r="L61" s="13" t="s">
        <v>514</v>
      </c>
    </row>
    <row r="62" customFormat="false" ht="15" hidden="false" customHeight="false" outlineLevel="0" collapsed="false">
      <c r="A62" s="13" t="s">
        <v>524</v>
      </c>
      <c r="B62" s="13" t="s">
        <v>509</v>
      </c>
      <c r="C62" s="19" t="n">
        <v>46580</v>
      </c>
      <c r="D62" s="19" t="n">
        <v>46591</v>
      </c>
      <c r="E62" s="13" t="n">
        <f aca="false">NETWORKDAYS(C62,D62,Assumptions!$A$16:$A$19)</f>
        <v>10</v>
      </c>
      <c r="F62" s="13" t="s">
        <v>52</v>
      </c>
      <c r="G62" s="20" t="str">
        <f aca="false">INDEX(Assumptions!$B$5:$B$13,MATCH(F62,Assumptions!$A$5:$A$13,0))</f>
        <v>QA and test engineer</v>
      </c>
      <c r="H62" s="21" t="n">
        <v>0.6</v>
      </c>
      <c r="I62" s="22" t="n">
        <f aca="false">E62*H62</f>
        <v>6</v>
      </c>
      <c r="J62" s="23" t="n">
        <f aca="false">INDEX(Assumptions!$C$5:$C$13,MATCH(F62,Assumptions!$A$5:$A$13,0))</f>
        <v>120</v>
      </c>
      <c r="K62" s="24" t="n">
        <f aca="false">I62*J62</f>
        <v>720</v>
      </c>
      <c r="L62" s="13" t="s">
        <v>544</v>
      </c>
    </row>
    <row r="63" customFormat="false" ht="26.85" hidden="false" customHeight="false" outlineLevel="0" collapsed="false">
      <c r="A63" s="13" t="s">
        <v>524</v>
      </c>
      <c r="B63" s="13" t="s">
        <v>517</v>
      </c>
      <c r="C63" s="19" t="n">
        <v>46594</v>
      </c>
      <c r="D63" s="19" t="n">
        <v>46598</v>
      </c>
      <c r="E63" s="13" t="n">
        <f aca="false">NETWORKDAYS(C63,D63,Assumptions!$A$16:$A$19)</f>
        <v>5</v>
      </c>
      <c r="F63" s="13" t="s">
        <v>38</v>
      </c>
      <c r="G63" s="20" t="str">
        <f aca="false">INDEX(Assumptions!$B$5:$B$13,MATCH(F63,Assumptions!$A$5:$A$13,0))</f>
        <v>Engagement lead and solution architect (named lead)</v>
      </c>
      <c r="H63" s="21" t="n">
        <v>0.1</v>
      </c>
      <c r="I63" s="22" t="n">
        <f aca="false">E63*H63</f>
        <v>0.5</v>
      </c>
      <c r="J63" s="23" t="n">
        <f aca="false">INDEX(Assumptions!$C$5:$C$13,MATCH(F63,Assumptions!$A$5:$A$13,0))</f>
        <v>280</v>
      </c>
      <c r="K63" s="24" t="n">
        <f aca="false">I63*J63</f>
        <v>140</v>
      </c>
      <c r="L63" s="13" t="s">
        <v>545</v>
      </c>
    </row>
    <row r="64" customFormat="false" ht="26.85" hidden="false" customHeight="false" outlineLevel="0" collapsed="false">
      <c r="A64" s="13" t="s">
        <v>524</v>
      </c>
      <c r="B64" s="13" t="s">
        <v>517</v>
      </c>
      <c r="C64" s="19" t="n">
        <v>46594</v>
      </c>
      <c r="D64" s="19" t="n">
        <v>46598</v>
      </c>
      <c r="E64" s="13" t="n">
        <f aca="false">NETWORKDAYS(C64,D64,Assumptions!$A$16:$A$19)</f>
        <v>5</v>
      </c>
      <c r="F64" s="13" t="s">
        <v>40</v>
      </c>
      <c r="G64" s="20" t="str">
        <f aca="false">INDEX(Assumptions!$B$5:$B$13,MATCH(F64,Assumptions!$A$5:$A$13,0))</f>
        <v>Functional consultant – investment and finance</v>
      </c>
      <c r="H64" s="21" t="n">
        <v>0.4</v>
      </c>
      <c r="I64" s="22" t="n">
        <f aca="false">E64*H64</f>
        <v>2</v>
      </c>
      <c r="J64" s="23" t="n">
        <f aca="false">INDEX(Assumptions!$C$5:$C$13,MATCH(F64,Assumptions!$A$5:$A$13,0))</f>
        <v>230</v>
      </c>
      <c r="K64" s="24" t="n">
        <f aca="false">I64*J64</f>
        <v>460</v>
      </c>
      <c r="L64" s="13" t="s">
        <v>546</v>
      </c>
    </row>
    <row r="65" customFormat="false" ht="26.85" hidden="false" customHeight="false" outlineLevel="0" collapsed="false">
      <c r="A65" s="13" t="s">
        <v>524</v>
      </c>
      <c r="B65" s="13" t="s">
        <v>517</v>
      </c>
      <c r="C65" s="19" t="n">
        <v>46594</v>
      </c>
      <c r="D65" s="19" t="n">
        <v>46598</v>
      </c>
      <c r="E65" s="13" t="n">
        <f aca="false">NETWORKDAYS(C65,D65,Assumptions!$A$16:$A$19)</f>
        <v>5</v>
      </c>
      <c r="F65" s="13" t="s">
        <v>42</v>
      </c>
      <c r="G65" s="20" t="str">
        <f aca="false">INDEX(Assumptions!$B$5:$B$13,MATCH(F65,Assumptions!$A$5:$A$13,0))</f>
        <v>Lead Frappe developer – platform core and controls</v>
      </c>
      <c r="H65" s="21" t="n">
        <v>0.4</v>
      </c>
      <c r="I65" s="22" t="n">
        <f aca="false">E65*H65</f>
        <v>2</v>
      </c>
      <c r="J65" s="23" t="n">
        <f aca="false">INDEX(Assumptions!$C$5:$C$13,MATCH(F65,Assumptions!$A$5:$A$13,0))</f>
        <v>180</v>
      </c>
      <c r="K65" s="24" t="n">
        <f aca="false">I65*J65</f>
        <v>360</v>
      </c>
      <c r="L65" s="13" t="s">
        <v>521</v>
      </c>
    </row>
    <row r="66" customFormat="false" ht="15" hidden="false" customHeight="false" outlineLevel="0" collapsed="false">
      <c r="A66" s="13" t="s">
        <v>524</v>
      </c>
      <c r="B66" s="13" t="s">
        <v>517</v>
      </c>
      <c r="C66" s="19" t="n">
        <v>46594</v>
      </c>
      <c r="D66" s="19" t="n">
        <v>46598</v>
      </c>
      <c r="E66" s="13" t="n">
        <f aca="false">NETWORKDAYS(C66,D66,Assumptions!$A$16:$A$19)</f>
        <v>5</v>
      </c>
      <c r="F66" s="13" t="s">
        <v>54</v>
      </c>
      <c r="G66" s="20" t="str">
        <f aca="false">INDEX(Assumptions!$B$5:$B$13,MATCH(F66,Assumptions!$A$5:$A$13,0))</f>
        <v>DevOps and security engineer</v>
      </c>
      <c r="H66" s="21" t="n">
        <v>0.3</v>
      </c>
      <c r="I66" s="22" t="n">
        <f aca="false">E66*H66</f>
        <v>1.5</v>
      </c>
      <c r="J66" s="23" t="n">
        <f aca="false">INDEX(Assumptions!$C$5:$C$13,MATCH(F66,Assumptions!$A$5:$A$13,0))</f>
        <v>180</v>
      </c>
      <c r="K66" s="24" t="n">
        <f aca="false">I66*J66</f>
        <v>270</v>
      </c>
      <c r="L66" s="13" t="s">
        <v>547</v>
      </c>
    </row>
    <row r="67" customFormat="false" ht="26.85" hidden="false" customHeight="false" outlineLevel="0" collapsed="false">
      <c r="A67" s="13" t="s">
        <v>548</v>
      </c>
      <c r="B67" s="13" t="s">
        <v>483</v>
      </c>
      <c r="C67" s="19" t="n">
        <v>46601</v>
      </c>
      <c r="D67" s="19" t="n">
        <v>46605</v>
      </c>
      <c r="E67" s="13" t="n">
        <f aca="false">NETWORKDAYS(C67,D67,Assumptions!$A$16:$A$19)</f>
        <v>5</v>
      </c>
      <c r="F67" s="13" t="s">
        <v>38</v>
      </c>
      <c r="G67" s="20" t="str">
        <f aca="false">INDEX(Assumptions!$B$5:$B$13,MATCH(F67,Assumptions!$A$5:$A$13,0))</f>
        <v>Engagement lead and solution architect (named lead)</v>
      </c>
      <c r="H67" s="21" t="n">
        <v>0.1</v>
      </c>
      <c r="I67" s="22" t="n">
        <f aca="false">E67*H67</f>
        <v>0.5</v>
      </c>
      <c r="J67" s="23" t="n">
        <f aca="false">INDEX(Assumptions!$C$5:$C$13,MATCH(F67,Assumptions!$A$5:$A$13,0))</f>
        <v>280</v>
      </c>
      <c r="K67" s="24" t="n">
        <f aca="false">I67*J67</f>
        <v>140</v>
      </c>
      <c r="L67" s="13" t="s">
        <v>549</v>
      </c>
    </row>
    <row r="68" customFormat="false" ht="26.85" hidden="false" customHeight="false" outlineLevel="0" collapsed="false">
      <c r="A68" s="13" t="s">
        <v>548</v>
      </c>
      <c r="B68" s="13" t="s">
        <v>483</v>
      </c>
      <c r="C68" s="19" t="n">
        <v>46601</v>
      </c>
      <c r="D68" s="19" t="n">
        <v>46605</v>
      </c>
      <c r="E68" s="13" t="n">
        <f aca="false">NETWORKDAYS(C68,D68,Assumptions!$A$16:$A$19)</f>
        <v>5</v>
      </c>
      <c r="F68" s="13" t="s">
        <v>40</v>
      </c>
      <c r="G68" s="20" t="str">
        <f aca="false">INDEX(Assumptions!$B$5:$B$13,MATCH(F68,Assumptions!$A$5:$A$13,0))</f>
        <v>Functional consultant – investment and finance</v>
      </c>
      <c r="H68" s="21" t="n">
        <v>0.5</v>
      </c>
      <c r="I68" s="22" t="n">
        <f aca="false">E68*H68</f>
        <v>2.5</v>
      </c>
      <c r="J68" s="23" t="n">
        <f aca="false">INDEX(Assumptions!$C$5:$C$13,MATCH(F68,Assumptions!$A$5:$A$13,0))</f>
        <v>230</v>
      </c>
      <c r="K68" s="24" t="n">
        <f aca="false">I68*J68</f>
        <v>575</v>
      </c>
      <c r="L68" s="13" t="s">
        <v>550</v>
      </c>
    </row>
    <row r="69" customFormat="false" ht="26.85" hidden="false" customHeight="false" outlineLevel="0" collapsed="false">
      <c r="A69" s="13" t="s">
        <v>548</v>
      </c>
      <c r="B69" s="13" t="s">
        <v>489</v>
      </c>
      <c r="C69" s="19" t="n">
        <v>46608</v>
      </c>
      <c r="D69" s="19" t="n">
        <v>46633</v>
      </c>
      <c r="E69" s="13" t="n">
        <f aca="false">NETWORKDAYS(C69,D69,Assumptions!$A$16:$A$19)</f>
        <v>20</v>
      </c>
      <c r="F69" s="13" t="s">
        <v>38</v>
      </c>
      <c r="G69" s="20" t="str">
        <f aca="false">INDEX(Assumptions!$B$5:$B$13,MATCH(F69,Assumptions!$A$5:$A$13,0))</f>
        <v>Engagement lead and solution architect (named lead)</v>
      </c>
      <c r="H69" s="21" t="n">
        <v>0.05</v>
      </c>
      <c r="I69" s="22" t="n">
        <f aca="false">E69*H69</f>
        <v>1</v>
      </c>
      <c r="J69" s="23" t="n">
        <f aca="false">INDEX(Assumptions!$C$5:$C$13,MATCH(F69,Assumptions!$A$5:$A$13,0))</f>
        <v>280</v>
      </c>
      <c r="K69" s="24" t="n">
        <f aca="false">I69*J69</f>
        <v>280</v>
      </c>
      <c r="L69" s="13" t="s">
        <v>551</v>
      </c>
    </row>
    <row r="70" customFormat="false" ht="26.85" hidden="false" customHeight="false" outlineLevel="0" collapsed="false">
      <c r="A70" s="13" t="s">
        <v>548</v>
      </c>
      <c r="B70" s="13" t="s">
        <v>489</v>
      </c>
      <c r="C70" s="19" t="n">
        <v>46608</v>
      </c>
      <c r="D70" s="19" t="n">
        <v>46633</v>
      </c>
      <c r="E70" s="13" t="n">
        <f aca="false">NETWORKDAYS(C70,D70,Assumptions!$A$16:$A$19)</f>
        <v>20</v>
      </c>
      <c r="F70" s="13" t="s">
        <v>40</v>
      </c>
      <c r="G70" s="20" t="str">
        <f aca="false">INDEX(Assumptions!$B$5:$B$13,MATCH(F70,Assumptions!$A$5:$A$13,0))</f>
        <v>Functional consultant – investment and finance</v>
      </c>
      <c r="H70" s="21" t="n">
        <v>0.15</v>
      </c>
      <c r="I70" s="22" t="n">
        <f aca="false">E70*H70</f>
        <v>3</v>
      </c>
      <c r="J70" s="23" t="n">
        <f aca="false">INDEX(Assumptions!$C$5:$C$13,MATCH(F70,Assumptions!$A$5:$A$13,0))</f>
        <v>230</v>
      </c>
      <c r="K70" s="24" t="n">
        <f aca="false">I70*J70</f>
        <v>690</v>
      </c>
      <c r="L70" s="13" t="s">
        <v>552</v>
      </c>
    </row>
    <row r="71" customFormat="false" ht="26.85" hidden="false" customHeight="false" outlineLevel="0" collapsed="false">
      <c r="A71" s="13" t="s">
        <v>548</v>
      </c>
      <c r="B71" s="13" t="s">
        <v>489</v>
      </c>
      <c r="C71" s="19" t="n">
        <v>46608</v>
      </c>
      <c r="D71" s="19" t="n">
        <v>46633</v>
      </c>
      <c r="E71" s="13" t="n">
        <f aca="false">NETWORKDAYS(C71,D71,Assumptions!$A$16:$A$19)</f>
        <v>20</v>
      </c>
      <c r="F71" s="13" t="s">
        <v>42</v>
      </c>
      <c r="G71" s="20" t="str">
        <f aca="false">INDEX(Assumptions!$B$5:$B$13,MATCH(F71,Assumptions!$A$5:$A$13,0))</f>
        <v>Lead Frappe developer – platform core and controls</v>
      </c>
      <c r="H71" s="21" t="n">
        <v>0.25</v>
      </c>
      <c r="I71" s="22" t="n">
        <f aca="false">E71*H71</f>
        <v>5</v>
      </c>
      <c r="J71" s="23" t="n">
        <f aca="false">INDEX(Assumptions!$C$5:$C$13,MATCH(F71,Assumptions!$A$5:$A$13,0))</f>
        <v>180</v>
      </c>
      <c r="K71" s="24" t="n">
        <f aca="false">I71*J71</f>
        <v>900</v>
      </c>
      <c r="L71" s="13" t="s">
        <v>553</v>
      </c>
    </row>
    <row r="72" customFormat="false" ht="26.85" hidden="false" customHeight="false" outlineLevel="0" collapsed="false">
      <c r="A72" s="13" t="s">
        <v>548</v>
      </c>
      <c r="B72" s="13" t="s">
        <v>489</v>
      </c>
      <c r="C72" s="19" t="n">
        <v>46608</v>
      </c>
      <c r="D72" s="19" t="n">
        <v>46633</v>
      </c>
      <c r="E72" s="13" t="n">
        <f aca="false">NETWORKDAYS(C72,D72,Assumptions!$A$16:$A$19)</f>
        <v>20</v>
      </c>
      <c r="F72" s="13" t="s">
        <v>46</v>
      </c>
      <c r="G72" s="20" t="str">
        <f aca="false">INDEX(Assumptions!$B$5:$B$13,MATCH(F72,Assumptions!$A$5:$A$13,0))</f>
        <v>Frappe developer – governance and compliance</v>
      </c>
      <c r="H72" s="21" t="n">
        <v>1</v>
      </c>
      <c r="I72" s="22" t="n">
        <f aca="false">E72*H72</f>
        <v>20</v>
      </c>
      <c r="J72" s="23" t="n">
        <f aca="false">INDEX(Assumptions!$C$5:$C$13,MATCH(F72,Assumptions!$A$5:$A$13,0))</f>
        <v>135</v>
      </c>
      <c r="K72" s="24" t="n">
        <f aca="false">I72*J72</f>
        <v>2700</v>
      </c>
      <c r="L72" s="13" t="s">
        <v>554</v>
      </c>
    </row>
    <row r="73" customFormat="false" ht="26.85" hidden="false" customHeight="false" outlineLevel="0" collapsed="false">
      <c r="A73" s="13" t="s">
        <v>548</v>
      </c>
      <c r="B73" s="13" t="s">
        <v>489</v>
      </c>
      <c r="C73" s="19" t="n">
        <v>46608</v>
      </c>
      <c r="D73" s="19" t="n">
        <v>46633</v>
      </c>
      <c r="E73" s="13" t="n">
        <f aca="false">NETWORKDAYS(C73,D73,Assumptions!$A$16:$A$19)</f>
        <v>20</v>
      </c>
      <c r="F73" s="13" t="s">
        <v>52</v>
      </c>
      <c r="G73" s="20" t="str">
        <f aca="false">INDEX(Assumptions!$B$5:$B$13,MATCH(F73,Assumptions!$A$5:$A$13,0))</f>
        <v>QA and test engineer</v>
      </c>
      <c r="H73" s="21" t="n">
        <v>0.15</v>
      </c>
      <c r="I73" s="22" t="n">
        <f aca="false">E73*H73</f>
        <v>3</v>
      </c>
      <c r="J73" s="23" t="n">
        <f aca="false">INDEX(Assumptions!$C$5:$C$13,MATCH(F73,Assumptions!$A$5:$A$13,0))</f>
        <v>120</v>
      </c>
      <c r="K73" s="24" t="n">
        <f aca="false">I73*J73</f>
        <v>360</v>
      </c>
      <c r="L73" s="13" t="s">
        <v>555</v>
      </c>
    </row>
    <row r="74" customFormat="false" ht="26.85" hidden="false" customHeight="false" outlineLevel="0" collapsed="false">
      <c r="A74" s="13" t="s">
        <v>548</v>
      </c>
      <c r="B74" s="13" t="s">
        <v>499</v>
      </c>
      <c r="C74" s="19" t="n">
        <v>46636</v>
      </c>
      <c r="D74" s="19" t="n">
        <v>46640</v>
      </c>
      <c r="E74" s="13" t="n">
        <f aca="false">NETWORKDAYS(C74,D74,Assumptions!$A$16:$A$19)</f>
        <v>5</v>
      </c>
      <c r="F74" s="13" t="s">
        <v>46</v>
      </c>
      <c r="G74" s="20" t="str">
        <f aca="false">INDEX(Assumptions!$B$5:$B$13,MATCH(F74,Assumptions!$A$5:$A$13,0))</f>
        <v>Frappe developer – governance and compliance</v>
      </c>
      <c r="H74" s="21" t="n">
        <v>0.8</v>
      </c>
      <c r="I74" s="22" t="n">
        <f aca="false">E74*H74</f>
        <v>4</v>
      </c>
      <c r="J74" s="23" t="n">
        <f aca="false">INDEX(Assumptions!$C$5:$C$13,MATCH(F74,Assumptions!$A$5:$A$13,0))</f>
        <v>135</v>
      </c>
      <c r="K74" s="24" t="n">
        <f aca="false">I74*J74</f>
        <v>540</v>
      </c>
      <c r="L74" s="13" t="s">
        <v>538</v>
      </c>
    </row>
    <row r="75" customFormat="false" ht="26.85" hidden="false" customHeight="false" outlineLevel="0" collapsed="false">
      <c r="A75" s="13" t="s">
        <v>548</v>
      </c>
      <c r="B75" s="13" t="s">
        <v>499</v>
      </c>
      <c r="C75" s="19" t="n">
        <v>46636</v>
      </c>
      <c r="D75" s="19" t="n">
        <v>46640</v>
      </c>
      <c r="E75" s="13" t="n">
        <f aca="false">NETWORKDAYS(C75,D75,Assumptions!$A$16:$A$19)</f>
        <v>5</v>
      </c>
      <c r="F75" s="13" t="s">
        <v>52</v>
      </c>
      <c r="G75" s="20" t="str">
        <f aca="false">INDEX(Assumptions!$B$5:$B$13,MATCH(F75,Assumptions!$A$5:$A$13,0))</f>
        <v>QA and test engineer</v>
      </c>
      <c r="H75" s="21" t="n">
        <v>0.5</v>
      </c>
      <c r="I75" s="22" t="n">
        <f aca="false">E75*H75</f>
        <v>2.5</v>
      </c>
      <c r="J75" s="23" t="n">
        <f aca="false">INDEX(Assumptions!$C$5:$C$13,MATCH(F75,Assumptions!$A$5:$A$13,0))</f>
        <v>120</v>
      </c>
      <c r="K75" s="24" t="n">
        <f aca="false">I75*J75</f>
        <v>300</v>
      </c>
      <c r="L75" s="13" t="s">
        <v>556</v>
      </c>
    </row>
    <row r="76" customFormat="false" ht="26.85" hidden="false" customHeight="false" outlineLevel="0" collapsed="false">
      <c r="A76" s="13" t="s">
        <v>548</v>
      </c>
      <c r="B76" s="13" t="s">
        <v>509</v>
      </c>
      <c r="C76" s="19" t="n">
        <v>46643</v>
      </c>
      <c r="D76" s="19" t="n">
        <v>46647</v>
      </c>
      <c r="E76" s="13" t="n">
        <f aca="false">NETWORKDAYS(C76,D76,Assumptions!$A$16:$A$19)</f>
        <v>5</v>
      </c>
      <c r="F76" s="13" t="s">
        <v>40</v>
      </c>
      <c r="G76" s="20" t="str">
        <f aca="false">INDEX(Assumptions!$B$5:$B$13,MATCH(F76,Assumptions!$A$5:$A$13,0))</f>
        <v>Functional consultant – investment and finance</v>
      </c>
      <c r="H76" s="21" t="n">
        <v>0.5</v>
      </c>
      <c r="I76" s="22" t="n">
        <f aca="false">E76*H76</f>
        <v>2.5</v>
      </c>
      <c r="J76" s="23" t="n">
        <f aca="false">INDEX(Assumptions!$C$5:$C$13,MATCH(F76,Assumptions!$A$5:$A$13,0))</f>
        <v>230</v>
      </c>
      <c r="K76" s="24" t="n">
        <f aca="false">I76*J76</f>
        <v>575</v>
      </c>
      <c r="L76" s="13" t="s">
        <v>557</v>
      </c>
    </row>
    <row r="77" customFormat="false" ht="26.85" hidden="false" customHeight="false" outlineLevel="0" collapsed="false">
      <c r="A77" s="13" t="s">
        <v>548</v>
      </c>
      <c r="B77" s="13" t="s">
        <v>509</v>
      </c>
      <c r="C77" s="19" t="n">
        <v>46643</v>
      </c>
      <c r="D77" s="19" t="n">
        <v>46647</v>
      </c>
      <c r="E77" s="13" t="n">
        <f aca="false">NETWORKDAYS(C77,D77,Assumptions!$A$16:$A$19)</f>
        <v>5</v>
      </c>
      <c r="F77" s="13" t="s">
        <v>46</v>
      </c>
      <c r="G77" s="20" t="str">
        <f aca="false">INDEX(Assumptions!$B$5:$B$13,MATCH(F77,Assumptions!$A$5:$A$13,0))</f>
        <v>Frappe developer – governance and compliance</v>
      </c>
      <c r="H77" s="21" t="n">
        <v>0.3</v>
      </c>
      <c r="I77" s="22" t="n">
        <f aca="false">E77*H77</f>
        <v>1.5</v>
      </c>
      <c r="J77" s="23" t="n">
        <f aca="false">INDEX(Assumptions!$C$5:$C$13,MATCH(F77,Assumptions!$A$5:$A$13,0))</f>
        <v>135</v>
      </c>
      <c r="K77" s="24" t="n">
        <f aca="false">I77*J77</f>
        <v>202.5</v>
      </c>
      <c r="L77" s="13" t="s">
        <v>514</v>
      </c>
    </row>
    <row r="78" customFormat="false" ht="26.85" hidden="false" customHeight="false" outlineLevel="0" collapsed="false">
      <c r="A78" s="13" t="s">
        <v>548</v>
      </c>
      <c r="B78" s="13" t="s">
        <v>509</v>
      </c>
      <c r="C78" s="19" t="n">
        <v>46643</v>
      </c>
      <c r="D78" s="19" t="n">
        <v>46647</v>
      </c>
      <c r="E78" s="13" t="n">
        <f aca="false">NETWORKDAYS(C78,D78,Assumptions!$A$16:$A$19)</f>
        <v>5</v>
      </c>
      <c r="F78" s="13" t="s">
        <v>52</v>
      </c>
      <c r="G78" s="20" t="str">
        <f aca="false">INDEX(Assumptions!$B$5:$B$13,MATCH(F78,Assumptions!$A$5:$A$13,0))</f>
        <v>QA and test engineer</v>
      </c>
      <c r="H78" s="21" t="n">
        <v>0.3</v>
      </c>
      <c r="I78" s="22" t="n">
        <f aca="false">E78*H78</f>
        <v>1.5</v>
      </c>
      <c r="J78" s="23" t="n">
        <f aca="false">INDEX(Assumptions!$C$5:$C$13,MATCH(F78,Assumptions!$A$5:$A$13,0))</f>
        <v>120</v>
      </c>
      <c r="K78" s="24" t="n">
        <f aca="false">I78*J78</f>
        <v>180</v>
      </c>
      <c r="L78" s="13" t="s">
        <v>544</v>
      </c>
    </row>
    <row r="79" customFormat="false" ht="26.85" hidden="false" customHeight="false" outlineLevel="0" collapsed="false">
      <c r="A79" s="13" t="s">
        <v>548</v>
      </c>
      <c r="B79" s="13" t="s">
        <v>517</v>
      </c>
      <c r="C79" s="19" t="n">
        <v>46650</v>
      </c>
      <c r="D79" s="19" t="n">
        <v>46654</v>
      </c>
      <c r="E79" s="13" t="n">
        <f aca="false">NETWORKDAYS(C79,D79,Assumptions!$A$16:$A$19)</f>
        <v>5</v>
      </c>
      <c r="F79" s="13" t="s">
        <v>46</v>
      </c>
      <c r="G79" s="20" t="str">
        <f aca="false">INDEX(Assumptions!$B$5:$B$13,MATCH(F79,Assumptions!$A$5:$A$13,0))</f>
        <v>Frappe developer – governance and compliance</v>
      </c>
      <c r="H79" s="21" t="n">
        <v>0.3</v>
      </c>
      <c r="I79" s="22" t="n">
        <f aca="false">E79*H79</f>
        <v>1.5</v>
      </c>
      <c r="J79" s="23" t="n">
        <f aca="false">INDEX(Assumptions!$C$5:$C$13,MATCH(F79,Assumptions!$A$5:$A$13,0))</f>
        <v>135</v>
      </c>
      <c r="K79" s="24" t="n">
        <f aca="false">I79*J79</f>
        <v>202.5</v>
      </c>
      <c r="L79" s="13" t="s">
        <v>521</v>
      </c>
    </row>
    <row r="80" customFormat="false" ht="26.85" hidden="false" customHeight="false" outlineLevel="0" collapsed="false">
      <c r="A80" s="13" t="s">
        <v>548</v>
      </c>
      <c r="B80" s="13" t="s">
        <v>517</v>
      </c>
      <c r="C80" s="19" t="n">
        <v>46650</v>
      </c>
      <c r="D80" s="19" t="n">
        <v>46654</v>
      </c>
      <c r="E80" s="13" t="n">
        <f aca="false">NETWORKDAYS(C80,D80,Assumptions!$A$16:$A$19)</f>
        <v>5</v>
      </c>
      <c r="F80" s="13" t="s">
        <v>54</v>
      </c>
      <c r="G80" s="20" t="str">
        <f aca="false">INDEX(Assumptions!$B$5:$B$13,MATCH(F80,Assumptions!$A$5:$A$13,0))</f>
        <v>DevOps and security engineer</v>
      </c>
      <c r="H80" s="21" t="n">
        <v>0.1</v>
      </c>
      <c r="I80" s="22" t="n">
        <f aca="false">E80*H80</f>
        <v>0.5</v>
      </c>
      <c r="J80" s="23" t="n">
        <f aca="false">INDEX(Assumptions!$C$5:$C$13,MATCH(F80,Assumptions!$A$5:$A$13,0))</f>
        <v>180</v>
      </c>
      <c r="K80" s="24" t="n">
        <f aca="false">I80*J80</f>
        <v>90</v>
      </c>
      <c r="L80" s="13" t="s">
        <v>547</v>
      </c>
    </row>
    <row r="81" customFormat="false" ht="15" hidden="false" customHeight="false" outlineLevel="0" collapsed="false">
      <c r="H81" s="3" t="s">
        <v>436</v>
      </c>
      <c r="I81" s="16" t="n">
        <f aca="false">SUM(I5:I80)</f>
        <v>799.6</v>
      </c>
      <c r="K81" s="25" t="n">
        <f aca="false">SUM(K5:K80)</f>
        <v>133526.5</v>
      </c>
    </row>
  </sheetData>
  <autoFilter ref="A4:L8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15"/>
    <col collapsed="false" customWidth="true" hidden="false" outlineLevel="0" max="5" min="4" style="0" width="12"/>
    <col collapsed="false" customWidth="true" hidden="false" outlineLevel="0" max="6" min="6" style="0" width="9"/>
    <col collapsed="false" customWidth="true" hidden="false" outlineLevel="0" max="8" min="7" style="0" width="48"/>
    <col collapsed="false" customWidth="true" hidden="false" outlineLevel="0" max="10" min="9" style="0" width="11"/>
    <col collapsed="false" customWidth="true" hidden="false" outlineLevel="0" max="11" min="11" style="0" width="8"/>
    <col collapsed="false" customWidth="true" hidden="false" outlineLevel="0" max="20" min="12" style="0" width="7"/>
    <col collapsed="false" customWidth="true" hidden="false" outlineLevel="0" max="21" min="21" style="0" width="11"/>
    <col collapsed="false" customWidth="true" hidden="false" outlineLevel="0" max="22" min="22" style="0" width="12"/>
  </cols>
  <sheetData>
    <row r="1" customFormat="false" ht="17.35" hidden="false" customHeight="false" outlineLevel="0" collapsed="false">
      <c r="A1" s="1" t="s">
        <v>558</v>
      </c>
    </row>
    <row r="2" customFormat="false" ht="15" hidden="false" customHeight="false" outlineLevel="0" collapsed="false">
      <c r="A2" s="2" t="s">
        <v>559</v>
      </c>
    </row>
    <row r="4" customFormat="false" ht="44" hidden="false" customHeight="false" outlineLevel="0" collapsed="false">
      <c r="A4" s="26" t="s">
        <v>441</v>
      </c>
      <c r="B4" s="26" t="s">
        <v>560</v>
      </c>
      <c r="C4" s="26" t="s">
        <v>473</v>
      </c>
      <c r="D4" s="26" t="s">
        <v>474</v>
      </c>
      <c r="E4" s="26" t="s">
        <v>475</v>
      </c>
      <c r="F4" s="26" t="s">
        <v>476</v>
      </c>
      <c r="G4" s="26" t="s">
        <v>561</v>
      </c>
      <c r="H4" s="26" t="s">
        <v>562</v>
      </c>
      <c r="I4" s="26" t="s">
        <v>563</v>
      </c>
      <c r="J4" s="26" t="s">
        <v>564</v>
      </c>
      <c r="K4" s="26" t="s">
        <v>565</v>
      </c>
      <c r="L4" s="26" t="s">
        <v>38</v>
      </c>
      <c r="M4" s="26" t="s">
        <v>40</v>
      </c>
      <c r="N4" s="26" t="s">
        <v>42</v>
      </c>
      <c r="O4" s="26" t="s">
        <v>44</v>
      </c>
      <c r="P4" s="26" t="s">
        <v>46</v>
      </c>
      <c r="Q4" s="26" t="s">
        <v>48</v>
      </c>
      <c r="R4" s="26" t="s">
        <v>50</v>
      </c>
      <c r="S4" s="26" t="s">
        <v>52</v>
      </c>
      <c r="T4" s="26" t="s">
        <v>54</v>
      </c>
      <c r="U4" s="26" t="s">
        <v>479</v>
      </c>
      <c r="V4" s="26" t="s">
        <v>480</v>
      </c>
    </row>
    <row r="5" customFormat="false" ht="26.85" hidden="false" customHeight="false" outlineLevel="0" collapsed="false">
      <c r="A5" s="13" t="s">
        <v>482</v>
      </c>
      <c r="B5" s="13" t="s">
        <v>566</v>
      </c>
      <c r="C5" s="27" t="s">
        <v>567</v>
      </c>
      <c r="D5" s="19" t="n">
        <v>46342</v>
      </c>
      <c r="E5" s="19" t="n">
        <v>46346</v>
      </c>
      <c r="F5" s="13" t="n">
        <f aca="false">NETWORKDAYS(D5,E5,Assumptions!$A$16:$A$19)</f>
        <v>5</v>
      </c>
      <c r="G5" s="13" t="s">
        <v>568</v>
      </c>
      <c r="H5" s="13" t="s">
        <v>569</v>
      </c>
      <c r="I5" s="22" t="n">
        <v>8</v>
      </c>
      <c r="J5" s="22" t="n">
        <f aca="false">SUM(M5:R5)</f>
        <v>8</v>
      </c>
      <c r="K5" s="28" t="n">
        <f aca="false">IF(J5&gt;0,IF(I5&gt;0,I5/J5,""),"")</f>
        <v>1</v>
      </c>
      <c r="L5" s="29" t="n">
        <f aca="false">$F5*0.4</f>
        <v>2</v>
      </c>
      <c r="M5" s="29" t="n">
        <f aca="false">$F5*1</f>
        <v>5</v>
      </c>
      <c r="N5" s="29" t="n">
        <f aca="false">$F5*0.4</f>
        <v>2</v>
      </c>
      <c r="O5" s="29" t="n">
        <f aca="false">$F5*0.2</f>
        <v>1</v>
      </c>
      <c r="P5" s="29"/>
      <c r="Q5" s="29"/>
      <c r="R5" s="29"/>
      <c r="S5" s="29"/>
      <c r="T5" s="29" t="n">
        <f aca="false">$F5*0.4</f>
        <v>2</v>
      </c>
      <c r="U5" s="29" t="n">
        <f aca="false">SUM(L5:T5)</f>
        <v>12</v>
      </c>
      <c r="V5" s="30" t="n">
        <f aca="false">L5*Assumptions!$C$5+M5*Assumptions!$C$6+N5*Assumptions!$C$7+O5*Assumptions!$C$8+P5*Assumptions!$C$9+Q5*Assumptions!$C$10+R5*Assumptions!$C$11+S5*Assumptions!$C$12+T5*Assumptions!$C$13</f>
        <v>2610</v>
      </c>
    </row>
    <row r="6" customFormat="false" ht="39.55" hidden="false" customHeight="false" outlineLevel="0" collapsed="false">
      <c r="A6" s="13" t="s">
        <v>482</v>
      </c>
      <c r="B6" s="13" t="s">
        <v>570</v>
      </c>
      <c r="C6" s="31" t="s">
        <v>571</v>
      </c>
      <c r="D6" s="19" t="n">
        <v>46349</v>
      </c>
      <c r="E6" s="19" t="n">
        <v>46360</v>
      </c>
      <c r="F6" s="13" t="n">
        <f aca="false">NETWORKDAYS(D6,E6,Assumptions!$A$16:$A$19)</f>
        <v>10</v>
      </c>
      <c r="G6" s="13" t="s">
        <v>572</v>
      </c>
      <c r="H6" s="13" t="s">
        <v>573</v>
      </c>
      <c r="I6" s="22" t="n">
        <v>57.5</v>
      </c>
      <c r="J6" s="22" t="n">
        <f aca="false">SUM(M6:R6)</f>
        <v>57</v>
      </c>
      <c r="K6" s="28" t="n">
        <f aca="false">IF(J6&gt;0,IF(I6&gt;0,I6/J6,""),"")</f>
        <v>1.00877192982456</v>
      </c>
      <c r="L6" s="29" t="n">
        <f aca="false">$F6*0.2</f>
        <v>2</v>
      </c>
      <c r="M6" s="29" t="n">
        <f aca="false">$F6*0.7</f>
        <v>7</v>
      </c>
      <c r="N6" s="29" t="n">
        <f aca="false">$F6*1</f>
        <v>10</v>
      </c>
      <c r="O6" s="29" t="n">
        <f aca="false">$F6*1</f>
        <v>10</v>
      </c>
      <c r="P6" s="29" t="n">
        <f aca="false">$F6*1</f>
        <v>10</v>
      </c>
      <c r="Q6" s="29" t="n">
        <f aca="false">$F6*1</f>
        <v>10</v>
      </c>
      <c r="R6" s="29" t="n">
        <f aca="false">$F6*1</f>
        <v>10</v>
      </c>
      <c r="S6" s="29" t="n">
        <f aca="false">$F6*0.4</f>
        <v>4</v>
      </c>
      <c r="T6" s="29" t="n">
        <f aca="false">$F6*0.05</f>
        <v>0.5</v>
      </c>
      <c r="U6" s="29" t="n">
        <f aca="false">SUM(L6:T6)</f>
        <v>63.5</v>
      </c>
      <c r="V6" s="30" t="n">
        <f aca="false">L6*Assumptions!$C$5+M6*Assumptions!$C$6+N6*Assumptions!$C$7+O6*Assumptions!$C$8+P6*Assumptions!$C$9+Q6*Assumptions!$C$10+R6*Assumptions!$C$11+S6*Assumptions!$C$12+T6*Assumptions!$C$13</f>
        <v>10390</v>
      </c>
    </row>
    <row r="7" customFormat="false" ht="39.55" hidden="false" customHeight="false" outlineLevel="0" collapsed="false">
      <c r="A7" s="13" t="s">
        <v>482</v>
      </c>
      <c r="B7" s="13" t="s">
        <v>574</v>
      </c>
      <c r="C7" s="31" t="s">
        <v>571</v>
      </c>
      <c r="D7" s="19" t="n">
        <v>46363</v>
      </c>
      <c r="E7" s="19" t="n">
        <v>46374</v>
      </c>
      <c r="F7" s="13" t="n">
        <f aca="false">NETWORKDAYS(D7,E7,Assumptions!$A$16:$A$19)</f>
        <v>10</v>
      </c>
      <c r="G7" s="13" t="s">
        <v>575</v>
      </c>
      <c r="H7" s="13" t="s">
        <v>576</v>
      </c>
      <c r="I7" s="22" t="n">
        <v>57.5</v>
      </c>
      <c r="J7" s="22" t="n">
        <f aca="false">SUM(M7:R7)</f>
        <v>57</v>
      </c>
      <c r="K7" s="28" t="n">
        <f aca="false">IF(J7&gt;0,IF(I7&gt;0,I7/J7,""),"")</f>
        <v>1.00877192982456</v>
      </c>
      <c r="L7" s="29" t="n">
        <f aca="false">$F7*0.2</f>
        <v>2</v>
      </c>
      <c r="M7" s="29" t="n">
        <f aca="false">$F7*0.7</f>
        <v>7</v>
      </c>
      <c r="N7" s="29" t="n">
        <f aca="false">$F7*1</f>
        <v>10</v>
      </c>
      <c r="O7" s="29" t="n">
        <f aca="false">$F7*1</f>
        <v>10</v>
      </c>
      <c r="P7" s="29" t="n">
        <f aca="false">$F7*1</f>
        <v>10</v>
      </c>
      <c r="Q7" s="29" t="n">
        <f aca="false">$F7*1</f>
        <v>10</v>
      </c>
      <c r="R7" s="29" t="n">
        <f aca="false">$F7*1</f>
        <v>10</v>
      </c>
      <c r="S7" s="29" t="n">
        <f aca="false">$F7*0.4</f>
        <v>4</v>
      </c>
      <c r="T7" s="29" t="n">
        <f aca="false">$F7*0.05</f>
        <v>0.5</v>
      </c>
      <c r="U7" s="29" t="n">
        <f aca="false">SUM(L7:T7)</f>
        <v>63.5</v>
      </c>
      <c r="V7" s="30" t="n">
        <f aca="false">L7*Assumptions!$C$5+M7*Assumptions!$C$6+N7*Assumptions!$C$7+O7*Assumptions!$C$8+P7*Assumptions!$C$9+Q7*Assumptions!$C$10+R7*Assumptions!$C$11+S7*Assumptions!$C$12+T7*Assumptions!$C$13</f>
        <v>10390</v>
      </c>
    </row>
    <row r="8" customFormat="false" ht="39.55" hidden="false" customHeight="false" outlineLevel="0" collapsed="false">
      <c r="A8" s="13" t="s">
        <v>482</v>
      </c>
      <c r="B8" s="13" t="s">
        <v>577</v>
      </c>
      <c r="C8" s="31" t="s">
        <v>571</v>
      </c>
      <c r="D8" s="19" t="n">
        <v>46377</v>
      </c>
      <c r="E8" s="19" t="n">
        <v>46388</v>
      </c>
      <c r="F8" s="13" t="n">
        <f aca="false">NETWORKDAYS(D8,E8,Assumptions!$A$16:$A$19)</f>
        <v>6</v>
      </c>
      <c r="G8" s="13" t="s">
        <v>578</v>
      </c>
      <c r="H8" s="13" t="s">
        <v>579</v>
      </c>
      <c r="I8" s="22" t="n">
        <v>35</v>
      </c>
      <c r="J8" s="22" t="n">
        <f aca="false">SUM(M8:R8)</f>
        <v>34.2</v>
      </c>
      <c r="K8" s="28" t="n">
        <f aca="false">IF(J8&gt;0,IF(I8&gt;0,I8/J8,""),"")</f>
        <v>1.0233918128655</v>
      </c>
      <c r="L8" s="29" t="n">
        <f aca="false">$F8*0.2</f>
        <v>1.2</v>
      </c>
      <c r="M8" s="29" t="n">
        <f aca="false">$F8*0.7</f>
        <v>4.2</v>
      </c>
      <c r="N8" s="29" t="n">
        <f aca="false">$F8*1</f>
        <v>6</v>
      </c>
      <c r="O8" s="29" t="n">
        <f aca="false">$F8*1</f>
        <v>6</v>
      </c>
      <c r="P8" s="29" t="n">
        <f aca="false">$F8*1</f>
        <v>6</v>
      </c>
      <c r="Q8" s="29" t="n">
        <f aca="false">$F8*1</f>
        <v>6</v>
      </c>
      <c r="R8" s="29" t="n">
        <f aca="false">$F8*1</f>
        <v>6</v>
      </c>
      <c r="S8" s="29" t="n">
        <f aca="false">$F8*0.4</f>
        <v>2.4</v>
      </c>
      <c r="T8" s="29" t="n">
        <f aca="false">$F8*0.05</f>
        <v>0.3</v>
      </c>
      <c r="U8" s="29" t="n">
        <f aca="false">SUM(L8:T8)</f>
        <v>38.1</v>
      </c>
      <c r="V8" s="30" t="n">
        <f aca="false">L8*Assumptions!$C$5+M8*Assumptions!$C$6+N8*Assumptions!$C$7+O8*Assumptions!$C$8+P8*Assumptions!$C$9+Q8*Assumptions!$C$10+R8*Assumptions!$C$11+S8*Assumptions!$C$12+T8*Assumptions!$C$13</f>
        <v>6234</v>
      </c>
    </row>
    <row r="9" customFormat="false" ht="39.55" hidden="false" customHeight="false" outlineLevel="0" collapsed="false">
      <c r="A9" s="13" t="s">
        <v>482</v>
      </c>
      <c r="B9" s="13" t="s">
        <v>580</v>
      </c>
      <c r="C9" s="31" t="s">
        <v>571</v>
      </c>
      <c r="D9" s="19" t="n">
        <v>46391</v>
      </c>
      <c r="E9" s="19" t="n">
        <v>46402</v>
      </c>
      <c r="F9" s="13" t="n">
        <f aca="false">NETWORKDAYS(D9,E9,Assumptions!$A$16:$A$19)</f>
        <v>10</v>
      </c>
      <c r="G9" s="13" t="s">
        <v>581</v>
      </c>
      <c r="H9" s="13" t="s">
        <v>582</v>
      </c>
      <c r="I9" s="22" t="n">
        <v>57.5</v>
      </c>
      <c r="J9" s="22" t="n">
        <f aca="false">SUM(M9:R9)</f>
        <v>57</v>
      </c>
      <c r="K9" s="28" t="n">
        <f aca="false">IF(J9&gt;0,IF(I9&gt;0,I9/J9,""),"")</f>
        <v>1.00877192982456</v>
      </c>
      <c r="L9" s="29" t="n">
        <f aca="false">$F9*0.2</f>
        <v>2</v>
      </c>
      <c r="M9" s="29" t="n">
        <f aca="false">$F9*0.7</f>
        <v>7</v>
      </c>
      <c r="N9" s="29" t="n">
        <f aca="false">$F9*1</f>
        <v>10</v>
      </c>
      <c r="O9" s="29" t="n">
        <f aca="false">$F9*1</f>
        <v>10</v>
      </c>
      <c r="P9" s="29" t="n">
        <f aca="false">$F9*1</f>
        <v>10</v>
      </c>
      <c r="Q9" s="29" t="n">
        <f aca="false">$F9*1</f>
        <v>10</v>
      </c>
      <c r="R9" s="29" t="n">
        <f aca="false">$F9*1</f>
        <v>10</v>
      </c>
      <c r="S9" s="29" t="n">
        <f aca="false">$F9*0.4</f>
        <v>4</v>
      </c>
      <c r="T9" s="29" t="n">
        <f aca="false">$F9*0.05</f>
        <v>0.5</v>
      </c>
      <c r="U9" s="29" t="n">
        <f aca="false">SUM(L9:T9)</f>
        <v>63.5</v>
      </c>
      <c r="V9" s="30" t="n">
        <f aca="false">L9*Assumptions!$C$5+M9*Assumptions!$C$6+N9*Assumptions!$C$7+O9*Assumptions!$C$8+P9*Assumptions!$C$9+Q9*Assumptions!$C$10+R9*Assumptions!$C$11+S9*Assumptions!$C$12+T9*Assumptions!$C$13</f>
        <v>10390</v>
      </c>
    </row>
    <row r="10" customFormat="false" ht="39.55" hidden="false" customHeight="false" outlineLevel="0" collapsed="false">
      <c r="A10" s="13" t="s">
        <v>482</v>
      </c>
      <c r="B10" s="13" t="s">
        <v>583</v>
      </c>
      <c r="C10" s="31" t="s">
        <v>571</v>
      </c>
      <c r="D10" s="19" t="n">
        <v>46405</v>
      </c>
      <c r="E10" s="19" t="n">
        <v>46416</v>
      </c>
      <c r="F10" s="13" t="n">
        <f aca="false">NETWORKDAYS(D10,E10,Assumptions!$A$16:$A$19)</f>
        <v>10</v>
      </c>
      <c r="G10" s="13" t="s">
        <v>584</v>
      </c>
      <c r="H10" s="13" t="s">
        <v>585</v>
      </c>
      <c r="I10" s="22" t="n">
        <v>59.5</v>
      </c>
      <c r="J10" s="22" t="n">
        <f aca="false">SUM(M10:R10)</f>
        <v>57</v>
      </c>
      <c r="K10" s="28" t="n">
        <f aca="false">IF(J10&gt;0,IF(I10&gt;0,I10/J10,""),"")</f>
        <v>1.04385964912281</v>
      </c>
      <c r="L10" s="29" t="n">
        <f aca="false">$F10*0.2</f>
        <v>2</v>
      </c>
      <c r="M10" s="29" t="n">
        <f aca="false">$F10*0.7</f>
        <v>7</v>
      </c>
      <c r="N10" s="29" t="n">
        <f aca="false">$F10*1</f>
        <v>10</v>
      </c>
      <c r="O10" s="29" t="n">
        <f aca="false">$F10*1</f>
        <v>10</v>
      </c>
      <c r="P10" s="29" t="n">
        <f aca="false">$F10*1</f>
        <v>10</v>
      </c>
      <c r="Q10" s="29" t="n">
        <f aca="false">$F10*1</f>
        <v>10</v>
      </c>
      <c r="R10" s="29" t="n">
        <f aca="false">$F10*1</f>
        <v>10</v>
      </c>
      <c r="S10" s="29" t="n">
        <f aca="false">$F10*0.4</f>
        <v>4</v>
      </c>
      <c r="T10" s="29" t="n">
        <f aca="false">$F10*0.05</f>
        <v>0.5</v>
      </c>
      <c r="U10" s="29" t="n">
        <f aca="false">SUM(L10:T10)</f>
        <v>63.5</v>
      </c>
      <c r="V10" s="30" t="n">
        <f aca="false">L10*Assumptions!$C$5+M10*Assumptions!$C$6+N10*Assumptions!$C$7+O10*Assumptions!$C$8+P10*Assumptions!$C$9+Q10*Assumptions!$C$10+R10*Assumptions!$C$11+S10*Assumptions!$C$12+T10*Assumptions!$C$13</f>
        <v>10390</v>
      </c>
    </row>
    <row r="11" customFormat="false" ht="26.85" hidden="false" customHeight="false" outlineLevel="0" collapsed="false">
      <c r="A11" s="13" t="s">
        <v>482</v>
      </c>
      <c r="B11" s="13" t="s">
        <v>586</v>
      </c>
      <c r="C11" s="31" t="s">
        <v>571</v>
      </c>
      <c r="D11" s="19" t="n">
        <v>46419</v>
      </c>
      <c r="E11" s="19" t="n">
        <v>46430</v>
      </c>
      <c r="F11" s="13" t="n">
        <f aca="false">NETWORKDAYS(D11,E11,Assumptions!$A$16:$A$19)</f>
        <v>10</v>
      </c>
      <c r="G11" s="13" t="s">
        <v>587</v>
      </c>
      <c r="H11" s="13" t="s">
        <v>588</v>
      </c>
      <c r="I11" s="22" t="n">
        <v>59.5</v>
      </c>
      <c r="J11" s="22" t="n">
        <f aca="false">SUM(M11:R11)</f>
        <v>57</v>
      </c>
      <c r="K11" s="28" t="n">
        <f aca="false">IF(J11&gt;0,IF(I11&gt;0,I11/J11,""),"")</f>
        <v>1.04385964912281</v>
      </c>
      <c r="L11" s="29" t="n">
        <f aca="false">$F11*0.2</f>
        <v>2</v>
      </c>
      <c r="M11" s="29" t="n">
        <f aca="false">$F11*0.7</f>
        <v>7</v>
      </c>
      <c r="N11" s="29" t="n">
        <f aca="false">$F11*1</f>
        <v>10</v>
      </c>
      <c r="O11" s="29" t="n">
        <f aca="false">$F11*1</f>
        <v>10</v>
      </c>
      <c r="P11" s="29" t="n">
        <f aca="false">$F11*1</f>
        <v>10</v>
      </c>
      <c r="Q11" s="29" t="n">
        <f aca="false">$F11*1</f>
        <v>10</v>
      </c>
      <c r="R11" s="29" t="n">
        <f aca="false">$F11*1</f>
        <v>10</v>
      </c>
      <c r="S11" s="29" t="n">
        <f aca="false">$F11*0.4</f>
        <v>4</v>
      </c>
      <c r="T11" s="29" t="n">
        <f aca="false">$F11*0.05</f>
        <v>0.5</v>
      </c>
      <c r="U11" s="29" t="n">
        <f aca="false">SUM(L11:T11)</f>
        <v>63.5</v>
      </c>
      <c r="V11" s="30" t="n">
        <f aca="false">L11*Assumptions!$C$5+M11*Assumptions!$C$6+N11*Assumptions!$C$7+O11*Assumptions!$C$8+P11*Assumptions!$C$9+Q11*Assumptions!$C$10+R11*Assumptions!$C$11+S11*Assumptions!$C$12+T11*Assumptions!$C$13</f>
        <v>10390</v>
      </c>
    </row>
    <row r="12" customFormat="false" ht="39.55" hidden="false" customHeight="false" outlineLevel="0" collapsed="false">
      <c r="A12" s="13" t="s">
        <v>482</v>
      </c>
      <c r="B12" s="13" t="s">
        <v>589</v>
      </c>
      <c r="C12" s="31" t="s">
        <v>571</v>
      </c>
      <c r="D12" s="19" t="n">
        <v>46433</v>
      </c>
      <c r="E12" s="19" t="n">
        <v>46444</v>
      </c>
      <c r="F12" s="13" t="n">
        <f aca="false">NETWORKDAYS(D12,E12,Assumptions!$A$16:$A$19)</f>
        <v>10</v>
      </c>
      <c r="G12" s="13" t="s">
        <v>590</v>
      </c>
      <c r="H12" s="13" t="s">
        <v>591</v>
      </c>
      <c r="I12" s="22" t="n">
        <v>58</v>
      </c>
      <c r="J12" s="22" t="n">
        <f aca="false">SUM(M12:R12)</f>
        <v>57</v>
      </c>
      <c r="K12" s="28" t="n">
        <f aca="false">IF(J12&gt;0,IF(I12&gt;0,I12/J12,""),"")</f>
        <v>1.01754385964912</v>
      </c>
      <c r="L12" s="29" t="n">
        <f aca="false">$F12*0.2</f>
        <v>2</v>
      </c>
      <c r="M12" s="29" t="n">
        <f aca="false">$F12*0.7</f>
        <v>7</v>
      </c>
      <c r="N12" s="29" t="n">
        <f aca="false">$F12*1</f>
        <v>10</v>
      </c>
      <c r="O12" s="29" t="n">
        <f aca="false">$F12*1</f>
        <v>10</v>
      </c>
      <c r="P12" s="29" t="n">
        <f aca="false">$F12*1</f>
        <v>10</v>
      </c>
      <c r="Q12" s="29" t="n">
        <f aca="false">$F12*1</f>
        <v>10</v>
      </c>
      <c r="R12" s="29" t="n">
        <f aca="false">$F12*1</f>
        <v>10</v>
      </c>
      <c r="S12" s="29" t="n">
        <f aca="false">$F12*0.4</f>
        <v>4</v>
      </c>
      <c r="T12" s="29" t="n">
        <f aca="false">$F12*0.05</f>
        <v>0.5</v>
      </c>
      <c r="U12" s="29" t="n">
        <f aca="false">SUM(L12:T12)</f>
        <v>63.5</v>
      </c>
      <c r="V12" s="30" t="n">
        <f aca="false">L12*Assumptions!$C$5+M12*Assumptions!$C$6+N12*Assumptions!$C$7+O12*Assumptions!$C$8+P12*Assumptions!$C$9+Q12*Assumptions!$C$10+R12*Assumptions!$C$11+S12*Assumptions!$C$12+T12*Assumptions!$C$13</f>
        <v>10390</v>
      </c>
    </row>
    <row r="13" customFormat="false" ht="39.55" hidden="false" customHeight="false" outlineLevel="0" collapsed="false">
      <c r="A13" s="13" t="s">
        <v>482</v>
      </c>
      <c r="B13" s="13" t="s">
        <v>499</v>
      </c>
      <c r="C13" s="32" t="s">
        <v>592</v>
      </c>
      <c r="D13" s="19" t="n">
        <v>46447</v>
      </c>
      <c r="E13" s="19" t="n">
        <v>46458</v>
      </c>
      <c r="F13" s="13" t="n">
        <f aca="false">NETWORKDAYS(D13,E13,Assumptions!$A$16:$A$19)</f>
        <v>10</v>
      </c>
      <c r="G13" s="13" t="s">
        <v>593</v>
      </c>
      <c r="H13" s="13" t="s">
        <v>594</v>
      </c>
      <c r="I13" s="22"/>
      <c r="J13" s="22" t="n">
        <f aca="false">SUM(M13:R13)</f>
        <v>34</v>
      </c>
      <c r="K13" s="28" t="str">
        <f aca="false">IF(J13&gt;0,IF(I13&gt;0,I13/J13,""),"")</f>
        <v/>
      </c>
      <c r="L13" s="29" t="n">
        <f aca="false">$F13*0.3</f>
        <v>3</v>
      </c>
      <c r="M13" s="29" t="n">
        <f aca="false">$F13*0.4</f>
        <v>4</v>
      </c>
      <c r="N13" s="29" t="n">
        <f aca="false">$F13*1</f>
        <v>10</v>
      </c>
      <c r="O13" s="29" t="n">
        <f aca="false">$F13*0.7</f>
        <v>7</v>
      </c>
      <c r="P13" s="29" t="n">
        <f aca="false">$F13*0.7</f>
        <v>7</v>
      </c>
      <c r="Q13" s="29" t="n">
        <f aca="false">$F13*0.3</f>
        <v>3</v>
      </c>
      <c r="R13" s="29" t="n">
        <f aca="false">$F13*0.3</f>
        <v>3</v>
      </c>
      <c r="S13" s="29" t="n">
        <f aca="false">$F13*1</f>
        <v>10</v>
      </c>
      <c r="T13" s="29" t="n">
        <f aca="false">$F13*0.3</f>
        <v>3</v>
      </c>
      <c r="U13" s="29" t="n">
        <f aca="false">SUM(L13:T13)</f>
        <v>50</v>
      </c>
      <c r="V13" s="30" t="n">
        <f aca="false">L13*Assumptions!$C$5+M13*Assumptions!$C$6+N13*Assumptions!$C$7+O13*Assumptions!$C$8+P13*Assumptions!$C$9+Q13*Assumptions!$C$10+R13*Assumptions!$C$11+S13*Assumptions!$C$12+T13*Assumptions!$C$13</f>
        <v>8315</v>
      </c>
    </row>
    <row r="14" customFormat="false" ht="26.85" hidden="false" customHeight="false" outlineLevel="0" collapsed="false">
      <c r="A14" s="13" t="s">
        <v>482</v>
      </c>
      <c r="B14" s="13" t="s">
        <v>509</v>
      </c>
      <c r="C14" s="33" t="s">
        <v>595</v>
      </c>
      <c r="D14" s="19" t="n">
        <v>46461</v>
      </c>
      <c r="E14" s="19" t="n">
        <v>46479</v>
      </c>
      <c r="F14" s="13" t="n">
        <f aca="false">NETWORKDAYS(D14,E14,Assumptions!$A$16:$A$19)</f>
        <v>15</v>
      </c>
      <c r="G14" s="13" t="s">
        <v>596</v>
      </c>
      <c r="H14" s="13" t="s">
        <v>594</v>
      </c>
      <c r="I14" s="22"/>
      <c r="J14" s="22" t="n">
        <f aca="false">SUM(M14:R14)</f>
        <v>25.5</v>
      </c>
      <c r="K14" s="28" t="str">
        <f aca="false">IF(J14&gt;0,IF(I14&gt;0,I14/J14,""),"")</f>
        <v/>
      </c>
      <c r="L14" s="29" t="n">
        <f aca="false">$F14*0.3</f>
        <v>4.5</v>
      </c>
      <c r="M14" s="29" t="n">
        <f aca="false">$F14*0.8</f>
        <v>12</v>
      </c>
      <c r="N14" s="29" t="n">
        <f aca="false">$F14*0.4</f>
        <v>6</v>
      </c>
      <c r="O14" s="29" t="n">
        <f aca="false">$F14*0.2</f>
        <v>3</v>
      </c>
      <c r="P14" s="29" t="n">
        <f aca="false">$F14*0.3</f>
        <v>4.5</v>
      </c>
      <c r="Q14" s="29"/>
      <c r="R14" s="29"/>
      <c r="S14" s="29" t="n">
        <f aca="false">$F14*0.6</f>
        <v>9</v>
      </c>
      <c r="T14" s="29" t="n">
        <f aca="false">$F14*0.1</f>
        <v>1.5</v>
      </c>
      <c r="U14" s="29" t="n">
        <f aca="false">SUM(L14:T14)</f>
        <v>40.5</v>
      </c>
      <c r="V14" s="30" t="n">
        <f aca="false">L14*Assumptions!$C$5+M14*Assumptions!$C$6+N14*Assumptions!$C$7+O14*Assumptions!$C$8+P14*Assumptions!$C$9+Q14*Assumptions!$C$10+R14*Assumptions!$C$11+S14*Assumptions!$C$12+T14*Assumptions!$C$13</f>
        <v>7597.5</v>
      </c>
    </row>
    <row r="15" customFormat="false" ht="26.85" hidden="false" customHeight="false" outlineLevel="0" collapsed="false">
      <c r="A15" s="13" t="s">
        <v>482</v>
      </c>
      <c r="B15" s="13" t="s">
        <v>517</v>
      </c>
      <c r="C15" s="34" t="s">
        <v>597</v>
      </c>
      <c r="D15" s="19" t="n">
        <v>46482</v>
      </c>
      <c r="E15" s="19" t="n">
        <v>46493</v>
      </c>
      <c r="F15" s="13" t="n">
        <f aca="false">NETWORKDAYS(D15,E15,Assumptions!$A$16:$A$19)</f>
        <v>10</v>
      </c>
      <c r="G15" s="13" t="s">
        <v>598</v>
      </c>
      <c r="H15" s="13" t="s">
        <v>594</v>
      </c>
      <c r="I15" s="22"/>
      <c r="J15" s="22" t="n">
        <f aca="false">SUM(M15:R15)</f>
        <v>11</v>
      </c>
      <c r="K15" s="28" t="str">
        <f aca="false">IF(J15&gt;0,IF(I15&gt;0,I15/J15,""),"")</f>
        <v/>
      </c>
      <c r="L15" s="29" t="n">
        <f aca="false">$F15*0.2</f>
        <v>2</v>
      </c>
      <c r="M15" s="29" t="n">
        <f aca="false">$F15*0.4</f>
        <v>4</v>
      </c>
      <c r="N15" s="29" t="n">
        <f aca="false">$F15*0.4</f>
        <v>4</v>
      </c>
      <c r="O15" s="29"/>
      <c r="P15" s="29" t="n">
        <f aca="false">$F15*0.3</f>
        <v>3</v>
      </c>
      <c r="Q15" s="29"/>
      <c r="R15" s="29"/>
      <c r="S15" s="29" t="n">
        <f aca="false">$F15*0.1</f>
        <v>1</v>
      </c>
      <c r="T15" s="29" t="n">
        <f aca="false">$F15*0.3</f>
        <v>3</v>
      </c>
      <c r="U15" s="29" t="n">
        <f aca="false">SUM(L15:T15)</f>
        <v>17</v>
      </c>
      <c r="V15" s="30" t="n">
        <f aca="false">L15*Assumptions!$C$5+M15*Assumptions!$C$6+N15*Assumptions!$C$7+O15*Assumptions!$C$8+P15*Assumptions!$C$9+Q15*Assumptions!$C$10+R15*Assumptions!$C$11+S15*Assumptions!$C$12+T15*Assumptions!$C$13</f>
        <v>3265</v>
      </c>
    </row>
    <row r="16" customFormat="false" ht="15" hidden="false" customHeight="false" outlineLevel="0" collapsed="false">
      <c r="B16" s="3" t="s">
        <v>599</v>
      </c>
      <c r="I16" s="35" t="n">
        <f aca="false">SUM(I5:I15)</f>
        <v>392.5</v>
      </c>
      <c r="J16" s="35" t="n">
        <f aca="false">SUM(J5:J15)</f>
        <v>454.7</v>
      </c>
      <c r="L16" s="35" t="n">
        <f aca="false">SUM(L5:L15)</f>
        <v>24.7</v>
      </c>
      <c r="M16" s="35" t="n">
        <f aca="false">SUM(M5:M15)</f>
        <v>71.2</v>
      </c>
      <c r="N16" s="35" t="n">
        <f aca="false">SUM(N5:N15)</f>
        <v>88</v>
      </c>
      <c r="O16" s="35" t="n">
        <f aca="false">SUM(O5:O15)</f>
        <v>77</v>
      </c>
      <c r="P16" s="35" t="n">
        <f aca="false">SUM(P5:P15)</f>
        <v>80.5</v>
      </c>
      <c r="Q16" s="35" t="n">
        <f aca="false">SUM(Q5:Q15)</f>
        <v>69</v>
      </c>
      <c r="R16" s="35" t="n">
        <f aca="false">SUM(R5:R15)</f>
        <v>69</v>
      </c>
      <c r="S16" s="35" t="n">
        <f aca="false">SUM(S5:S15)</f>
        <v>46.4</v>
      </c>
      <c r="T16" s="35" t="n">
        <f aca="false">SUM(T5:T15)</f>
        <v>12.8</v>
      </c>
      <c r="U16" s="35" t="n">
        <f aca="false">SUM(U5:U15)</f>
        <v>538.6</v>
      </c>
      <c r="V16" s="36" t="n">
        <f aca="false">SUM(V5:V15)</f>
        <v>90361.5</v>
      </c>
    </row>
    <row r="17" customFormat="false" ht="15" hidden="false" customHeight="false" outlineLevel="0" collapsed="false">
      <c r="B17" s="5" t="s">
        <v>600</v>
      </c>
      <c r="V17" s="10" t="n">
        <f aca="false">'Financial Offer'!D5</f>
        <v>90400</v>
      </c>
    </row>
    <row r="18" customFormat="false" ht="15" hidden="false" customHeight="false" outlineLevel="0" collapsed="false">
      <c r="B18" s="2" t="s">
        <v>601</v>
      </c>
      <c r="V18" s="37" t="n">
        <f aca="false">V17-V16</f>
        <v>38.5</v>
      </c>
    </row>
    <row r="20" customFormat="false" ht="26.85" hidden="false" customHeight="false" outlineLevel="0" collapsed="false">
      <c r="A20" s="13" t="s">
        <v>524</v>
      </c>
      <c r="B20" s="13" t="s">
        <v>566</v>
      </c>
      <c r="C20" s="27" t="s">
        <v>567</v>
      </c>
      <c r="D20" s="19" t="n">
        <v>46510</v>
      </c>
      <c r="E20" s="19" t="n">
        <v>46514</v>
      </c>
      <c r="F20" s="13" t="n">
        <f aca="false">NETWORKDAYS(D20,E20,Assumptions!$A$16:$A$19)</f>
        <v>5</v>
      </c>
      <c r="G20" s="13" t="s">
        <v>602</v>
      </c>
      <c r="H20" s="13" t="s">
        <v>594</v>
      </c>
      <c r="I20" s="22"/>
      <c r="J20" s="22" t="n">
        <f aca="false">SUM(M20:R20)</f>
        <v>6.5</v>
      </c>
      <c r="K20" s="28" t="str">
        <f aca="false">IF(J20&gt;0,IF(I20&gt;0,I20/J20,""),"")</f>
        <v/>
      </c>
      <c r="L20" s="29" t="n">
        <f aca="false">$F20*0.4</f>
        <v>2</v>
      </c>
      <c r="M20" s="29" t="n">
        <f aca="false">$F20*1</f>
        <v>5</v>
      </c>
      <c r="N20" s="29" t="n">
        <f aca="false">$F20*0.3</f>
        <v>1.5</v>
      </c>
      <c r="O20" s="29"/>
      <c r="P20" s="29"/>
      <c r="Q20" s="29"/>
      <c r="R20" s="29"/>
      <c r="S20" s="29"/>
      <c r="T20" s="29"/>
      <c r="U20" s="29" t="n">
        <f aca="false">SUM(L20:T20)</f>
        <v>8.5</v>
      </c>
      <c r="V20" s="30" t="n">
        <f aca="false">L20*Assumptions!$C$5+M20*Assumptions!$C$6+N20*Assumptions!$C$7+O20*Assumptions!$C$8+P20*Assumptions!$C$9+Q20*Assumptions!$C$10+R20*Assumptions!$C$11+S20*Assumptions!$C$12+T20*Assumptions!$C$13</f>
        <v>1980</v>
      </c>
    </row>
    <row r="21" customFormat="false" ht="26.85" hidden="false" customHeight="false" outlineLevel="0" collapsed="false">
      <c r="A21" s="13" t="s">
        <v>524</v>
      </c>
      <c r="B21" s="13" t="s">
        <v>603</v>
      </c>
      <c r="C21" s="31" t="s">
        <v>571</v>
      </c>
      <c r="D21" s="19" t="n">
        <v>46517</v>
      </c>
      <c r="E21" s="19" t="n">
        <v>46528</v>
      </c>
      <c r="F21" s="13" t="n">
        <f aca="false">NETWORKDAYS(D21,E21,Assumptions!$A$16:$A$19)</f>
        <v>10</v>
      </c>
      <c r="G21" s="13" t="s">
        <v>604</v>
      </c>
      <c r="H21" s="13" t="s">
        <v>605</v>
      </c>
      <c r="I21" s="22" t="n">
        <v>30</v>
      </c>
      <c r="J21" s="22" t="n">
        <f aca="false">SUM(M21:R21)</f>
        <v>34</v>
      </c>
      <c r="K21" s="28" t="n">
        <f aca="false">IF(J21&gt;0,IF(I21&gt;0,I21/J21,""),"")</f>
        <v>0.882352941176471</v>
      </c>
      <c r="L21" s="29" t="n">
        <f aca="false">$F21*0.15</f>
        <v>1.5</v>
      </c>
      <c r="M21" s="29" t="n">
        <f aca="false">$F21*0.4</f>
        <v>4</v>
      </c>
      <c r="N21" s="29" t="n">
        <f aca="false">$F21*1</f>
        <v>10</v>
      </c>
      <c r="O21" s="29"/>
      <c r="P21" s="29" t="n">
        <f aca="false">$F21*1</f>
        <v>10</v>
      </c>
      <c r="Q21" s="29" t="n">
        <f aca="false">$F21*1</f>
        <v>10</v>
      </c>
      <c r="R21" s="29"/>
      <c r="S21" s="29" t="n">
        <f aca="false">$F21*0.35</f>
        <v>3.5</v>
      </c>
      <c r="T21" s="29" t="n">
        <f aca="false">$F21*0.05</f>
        <v>0.5</v>
      </c>
      <c r="U21" s="29" t="n">
        <f aca="false">SUM(L21:T21)</f>
        <v>39.5</v>
      </c>
      <c r="V21" s="30" t="n">
        <f aca="false">L21*Assumptions!$C$5+M21*Assumptions!$C$6+N21*Assumptions!$C$7+O21*Assumptions!$C$8+P21*Assumptions!$C$9+Q21*Assumptions!$C$10+R21*Assumptions!$C$11+S21*Assumptions!$C$12+T21*Assumptions!$C$13</f>
        <v>6350</v>
      </c>
    </row>
    <row r="22" customFormat="false" ht="26.85" hidden="false" customHeight="false" outlineLevel="0" collapsed="false">
      <c r="A22" s="13" t="s">
        <v>524</v>
      </c>
      <c r="B22" s="13" t="s">
        <v>606</v>
      </c>
      <c r="C22" s="31" t="s">
        <v>571</v>
      </c>
      <c r="D22" s="19" t="n">
        <v>46531</v>
      </c>
      <c r="E22" s="19" t="n">
        <v>46542</v>
      </c>
      <c r="F22" s="13" t="n">
        <f aca="false">NETWORKDAYS(D22,E22,Assumptions!$A$16:$A$19)</f>
        <v>10</v>
      </c>
      <c r="G22" s="13" t="s">
        <v>607</v>
      </c>
      <c r="H22" s="13" t="s">
        <v>608</v>
      </c>
      <c r="I22" s="22" t="n">
        <v>34.5</v>
      </c>
      <c r="J22" s="22" t="n">
        <f aca="false">SUM(M22:R22)</f>
        <v>34</v>
      </c>
      <c r="K22" s="28" t="n">
        <f aca="false">IF(J22&gt;0,IF(I22&gt;0,I22/J22,""),"")</f>
        <v>1.01470588235294</v>
      </c>
      <c r="L22" s="29" t="n">
        <f aca="false">$F22*0.15</f>
        <v>1.5</v>
      </c>
      <c r="M22" s="29" t="n">
        <f aca="false">$F22*0.4</f>
        <v>4</v>
      </c>
      <c r="N22" s="29" t="n">
        <f aca="false">$F22*1</f>
        <v>10</v>
      </c>
      <c r="O22" s="29"/>
      <c r="P22" s="29" t="n">
        <f aca="false">$F22*1</f>
        <v>10</v>
      </c>
      <c r="Q22" s="29" t="n">
        <f aca="false">$F22*1</f>
        <v>10</v>
      </c>
      <c r="R22" s="29"/>
      <c r="S22" s="29" t="n">
        <f aca="false">$F22*0.35</f>
        <v>3.5</v>
      </c>
      <c r="T22" s="29" t="n">
        <f aca="false">$F22*0.05</f>
        <v>0.5</v>
      </c>
      <c r="U22" s="29" t="n">
        <f aca="false">SUM(L22:T22)</f>
        <v>39.5</v>
      </c>
      <c r="V22" s="30" t="n">
        <f aca="false">L22*Assumptions!$C$5+M22*Assumptions!$C$6+N22*Assumptions!$C$7+O22*Assumptions!$C$8+P22*Assumptions!$C$9+Q22*Assumptions!$C$10+R22*Assumptions!$C$11+S22*Assumptions!$C$12+T22*Assumptions!$C$13</f>
        <v>6350</v>
      </c>
    </row>
    <row r="23" customFormat="false" ht="39.55" hidden="false" customHeight="false" outlineLevel="0" collapsed="false">
      <c r="A23" s="13" t="s">
        <v>524</v>
      </c>
      <c r="B23" s="13" t="s">
        <v>609</v>
      </c>
      <c r="C23" s="31" t="s">
        <v>571</v>
      </c>
      <c r="D23" s="19" t="n">
        <v>46545</v>
      </c>
      <c r="E23" s="19" t="n">
        <v>46556</v>
      </c>
      <c r="F23" s="13" t="n">
        <f aca="false">NETWORKDAYS(D23,E23,Assumptions!$A$16:$A$19)</f>
        <v>10</v>
      </c>
      <c r="G23" s="13" t="s">
        <v>610</v>
      </c>
      <c r="H23" s="13" t="s">
        <v>611</v>
      </c>
      <c r="I23" s="22" t="n">
        <v>34</v>
      </c>
      <c r="J23" s="22" t="n">
        <f aca="false">SUM(M23:R23)</f>
        <v>34</v>
      </c>
      <c r="K23" s="28" t="n">
        <f aca="false">IF(J23&gt;0,IF(I23&gt;0,I23/J23,""),"")</f>
        <v>1</v>
      </c>
      <c r="L23" s="29" t="n">
        <f aca="false">$F23*0.15</f>
        <v>1.5</v>
      </c>
      <c r="M23" s="29" t="n">
        <f aca="false">$F23*0.4</f>
        <v>4</v>
      </c>
      <c r="N23" s="29" t="n">
        <f aca="false">$F23*1</f>
        <v>10</v>
      </c>
      <c r="O23" s="29"/>
      <c r="P23" s="29" t="n">
        <f aca="false">$F23*1</f>
        <v>10</v>
      </c>
      <c r="Q23" s="29" t="n">
        <f aca="false">$F23*1</f>
        <v>10</v>
      </c>
      <c r="R23" s="29"/>
      <c r="S23" s="29" t="n">
        <f aca="false">$F23*0.35</f>
        <v>3.5</v>
      </c>
      <c r="T23" s="29" t="n">
        <f aca="false">$F23*0.05</f>
        <v>0.5</v>
      </c>
      <c r="U23" s="29" t="n">
        <f aca="false">SUM(L23:T23)</f>
        <v>39.5</v>
      </c>
      <c r="V23" s="30" t="n">
        <f aca="false">L23*Assumptions!$C$5+M23*Assumptions!$C$6+N23*Assumptions!$C$7+O23*Assumptions!$C$8+P23*Assumptions!$C$9+Q23*Assumptions!$C$10+R23*Assumptions!$C$11+S23*Assumptions!$C$12+T23*Assumptions!$C$13</f>
        <v>6350</v>
      </c>
    </row>
    <row r="24" customFormat="false" ht="39.55" hidden="false" customHeight="false" outlineLevel="0" collapsed="false">
      <c r="A24" s="13" t="s">
        <v>524</v>
      </c>
      <c r="B24" s="13" t="s">
        <v>612</v>
      </c>
      <c r="C24" s="31" t="s">
        <v>571</v>
      </c>
      <c r="D24" s="19" t="n">
        <v>46559</v>
      </c>
      <c r="E24" s="19" t="n">
        <v>46570</v>
      </c>
      <c r="F24" s="13" t="n">
        <f aca="false">NETWORKDAYS(D24,E24,Assumptions!$A$16:$A$19)</f>
        <v>10</v>
      </c>
      <c r="G24" s="13" t="s">
        <v>613</v>
      </c>
      <c r="H24" s="13" t="s">
        <v>614</v>
      </c>
      <c r="I24" s="22" t="n">
        <v>32.5</v>
      </c>
      <c r="J24" s="22" t="n">
        <f aca="false">SUM(M24:R24)</f>
        <v>34</v>
      </c>
      <c r="K24" s="28" t="n">
        <f aca="false">IF(J24&gt;0,IF(I24&gt;0,I24/J24,""),"")</f>
        <v>0.955882352941177</v>
      </c>
      <c r="L24" s="29" t="n">
        <f aca="false">$F24*0.15</f>
        <v>1.5</v>
      </c>
      <c r="M24" s="29" t="n">
        <f aca="false">$F24*0.4</f>
        <v>4</v>
      </c>
      <c r="N24" s="29" t="n">
        <f aca="false">$F24*1</f>
        <v>10</v>
      </c>
      <c r="O24" s="29"/>
      <c r="P24" s="29" t="n">
        <f aca="false">$F24*1</f>
        <v>10</v>
      </c>
      <c r="Q24" s="29" t="n">
        <f aca="false">$F24*1</f>
        <v>10</v>
      </c>
      <c r="R24" s="29"/>
      <c r="S24" s="29" t="n">
        <f aca="false">$F24*0.35</f>
        <v>3.5</v>
      </c>
      <c r="T24" s="29" t="n">
        <f aca="false">$F24*0.05</f>
        <v>0.5</v>
      </c>
      <c r="U24" s="29" t="n">
        <f aca="false">SUM(L24:T24)</f>
        <v>39.5</v>
      </c>
      <c r="V24" s="30" t="n">
        <f aca="false">L24*Assumptions!$C$5+M24*Assumptions!$C$6+N24*Assumptions!$C$7+O24*Assumptions!$C$8+P24*Assumptions!$C$9+Q24*Assumptions!$C$10+R24*Assumptions!$C$11+S24*Assumptions!$C$12+T24*Assumptions!$C$13</f>
        <v>6350</v>
      </c>
    </row>
    <row r="25" customFormat="false" ht="15" hidden="false" customHeight="false" outlineLevel="0" collapsed="false">
      <c r="A25" s="13" t="s">
        <v>524</v>
      </c>
      <c r="B25" s="13" t="s">
        <v>499</v>
      </c>
      <c r="C25" s="32" t="s">
        <v>592</v>
      </c>
      <c r="D25" s="19" t="n">
        <v>46573</v>
      </c>
      <c r="E25" s="19" t="n">
        <v>46577</v>
      </c>
      <c r="F25" s="13" t="n">
        <f aca="false">NETWORKDAYS(D25,E25,Assumptions!$A$16:$A$19)</f>
        <v>5</v>
      </c>
      <c r="G25" s="13" t="s">
        <v>615</v>
      </c>
      <c r="H25" s="13" t="s">
        <v>594</v>
      </c>
      <c r="I25" s="22"/>
      <c r="J25" s="22" t="n">
        <f aca="false">SUM(M25:R25)</f>
        <v>10.5</v>
      </c>
      <c r="K25" s="28" t="str">
        <f aca="false">IF(J25&gt;0,IF(I25&gt;0,I25/J25,""),"")</f>
        <v/>
      </c>
      <c r="L25" s="29" t="n">
        <f aca="false">$F25*0.2</f>
        <v>1</v>
      </c>
      <c r="M25" s="29" t="n">
        <f aca="false">$F25*0.3</f>
        <v>1.5</v>
      </c>
      <c r="N25" s="29" t="n">
        <f aca="false">$F25*0.6</f>
        <v>3</v>
      </c>
      <c r="O25" s="29"/>
      <c r="P25" s="29" t="n">
        <f aca="false">$F25*0.8</f>
        <v>4</v>
      </c>
      <c r="Q25" s="29" t="n">
        <f aca="false">$F25*0.4</f>
        <v>2</v>
      </c>
      <c r="R25" s="29"/>
      <c r="S25" s="29" t="n">
        <f aca="false">$F25*1</f>
        <v>5</v>
      </c>
      <c r="T25" s="29" t="n">
        <f aca="false">$F25*0.2</f>
        <v>1</v>
      </c>
      <c r="U25" s="29" t="n">
        <f aca="false">SUM(L25:T25)</f>
        <v>17.5</v>
      </c>
      <c r="V25" s="30" t="n">
        <f aca="false">L25*Assumptions!$C$5+M25*Assumptions!$C$6+N25*Assumptions!$C$7+O25*Assumptions!$C$8+P25*Assumptions!$C$9+Q25*Assumptions!$C$10+R25*Assumptions!$C$11+S25*Assumptions!$C$12+T25*Assumptions!$C$13</f>
        <v>2755</v>
      </c>
    </row>
    <row r="26" customFormat="false" ht="26.85" hidden="false" customHeight="false" outlineLevel="0" collapsed="false">
      <c r="A26" s="13" t="s">
        <v>524</v>
      </c>
      <c r="B26" s="13" t="s">
        <v>509</v>
      </c>
      <c r="C26" s="33" t="s">
        <v>595</v>
      </c>
      <c r="D26" s="19" t="n">
        <v>46580</v>
      </c>
      <c r="E26" s="19" t="n">
        <v>46591</v>
      </c>
      <c r="F26" s="13" t="n">
        <f aca="false">NETWORKDAYS(D26,E26,Assumptions!$A$16:$A$19)</f>
        <v>10</v>
      </c>
      <c r="G26" s="13" t="s">
        <v>616</v>
      </c>
      <c r="H26" s="13" t="s">
        <v>594</v>
      </c>
      <c r="I26" s="22"/>
      <c r="J26" s="22" t="n">
        <f aca="false">SUM(M26:R26)</f>
        <v>14</v>
      </c>
      <c r="K26" s="28" t="str">
        <f aca="false">IF(J26&gt;0,IF(I26&gt;0,I26/J26,""),"")</f>
        <v/>
      </c>
      <c r="L26" s="29" t="n">
        <f aca="false">$F26*0.2</f>
        <v>2</v>
      </c>
      <c r="M26" s="29" t="n">
        <f aca="false">$F26*0.8</f>
        <v>8</v>
      </c>
      <c r="N26" s="29" t="n">
        <f aca="false">$F26*0.3</f>
        <v>3</v>
      </c>
      <c r="O26" s="29"/>
      <c r="P26" s="29" t="n">
        <f aca="false">$F26*0.3</f>
        <v>3</v>
      </c>
      <c r="Q26" s="29"/>
      <c r="R26" s="29"/>
      <c r="S26" s="29" t="n">
        <f aca="false">$F26*0.6</f>
        <v>6</v>
      </c>
      <c r="T26" s="29"/>
      <c r="U26" s="29" t="n">
        <f aca="false">SUM(L26:T26)</f>
        <v>22</v>
      </c>
      <c r="V26" s="30" t="n">
        <f aca="false">L26*Assumptions!$C$5+M26*Assumptions!$C$6+N26*Assumptions!$C$7+O26*Assumptions!$C$8+P26*Assumptions!$C$9+Q26*Assumptions!$C$10+R26*Assumptions!$C$11+S26*Assumptions!$C$12+T26*Assumptions!$C$13</f>
        <v>4065</v>
      </c>
    </row>
    <row r="27" customFormat="false" ht="26.85" hidden="false" customHeight="false" outlineLevel="0" collapsed="false">
      <c r="A27" s="13" t="s">
        <v>524</v>
      </c>
      <c r="B27" s="13" t="s">
        <v>517</v>
      </c>
      <c r="C27" s="34" t="s">
        <v>597</v>
      </c>
      <c r="D27" s="19" t="n">
        <v>46594</v>
      </c>
      <c r="E27" s="19" t="n">
        <v>46598</v>
      </c>
      <c r="F27" s="13" t="n">
        <f aca="false">NETWORKDAYS(D27,E27,Assumptions!$A$16:$A$19)</f>
        <v>5</v>
      </c>
      <c r="G27" s="13" t="s">
        <v>617</v>
      </c>
      <c r="H27" s="13" t="s">
        <v>594</v>
      </c>
      <c r="I27" s="22"/>
      <c r="J27" s="22" t="n">
        <f aca="false">SUM(M27:R27)</f>
        <v>4</v>
      </c>
      <c r="K27" s="28" t="str">
        <f aca="false">IF(J27&gt;0,IF(I27&gt;0,I27/J27,""),"")</f>
        <v/>
      </c>
      <c r="L27" s="29" t="n">
        <f aca="false">$F27*0.1</f>
        <v>0.5</v>
      </c>
      <c r="M27" s="29" t="n">
        <f aca="false">$F27*0.4</f>
        <v>2</v>
      </c>
      <c r="N27" s="29" t="n">
        <f aca="false">$F27*0.4</f>
        <v>2</v>
      </c>
      <c r="O27" s="29"/>
      <c r="P27" s="29"/>
      <c r="Q27" s="29"/>
      <c r="R27" s="29"/>
      <c r="S27" s="29"/>
      <c r="T27" s="29" t="n">
        <f aca="false">$F27*0.3</f>
        <v>1.5</v>
      </c>
      <c r="U27" s="29" t="n">
        <f aca="false">SUM(L27:T27)</f>
        <v>6</v>
      </c>
      <c r="V27" s="30" t="n">
        <f aca="false">L27*Assumptions!$C$5+M27*Assumptions!$C$6+N27*Assumptions!$C$7+O27*Assumptions!$C$8+P27*Assumptions!$C$9+Q27*Assumptions!$C$10+R27*Assumptions!$C$11+S27*Assumptions!$C$12+T27*Assumptions!$C$13</f>
        <v>1230</v>
      </c>
    </row>
    <row r="28" customFormat="false" ht="15" hidden="false" customHeight="false" outlineLevel="0" collapsed="false">
      <c r="B28" s="3" t="s">
        <v>618</v>
      </c>
      <c r="I28" s="35" t="n">
        <f aca="false">SUM(I20:I27)</f>
        <v>131</v>
      </c>
      <c r="J28" s="35" t="n">
        <f aca="false">SUM(J20:J27)</f>
        <v>171</v>
      </c>
      <c r="L28" s="35" t="n">
        <f aca="false">SUM(L20:L27)</f>
        <v>11.5</v>
      </c>
      <c r="M28" s="35" t="n">
        <f aca="false">SUM(M20:M27)</f>
        <v>32.5</v>
      </c>
      <c r="N28" s="35" t="n">
        <f aca="false">SUM(N20:N27)</f>
        <v>49.5</v>
      </c>
      <c r="O28" s="35" t="n">
        <f aca="false">SUM(O20:O27)</f>
        <v>0</v>
      </c>
      <c r="P28" s="35" t="n">
        <f aca="false">SUM(P20:P27)</f>
        <v>47</v>
      </c>
      <c r="Q28" s="35" t="n">
        <f aca="false">SUM(Q20:Q27)</f>
        <v>42</v>
      </c>
      <c r="R28" s="35" t="n">
        <f aca="false">SUM(R20:R27)</f>
        <v>0</v>
      </c>
      <c r="S28" s="35" t="n">
        <f aca="false">SUM(S20:S27)</f>
        <v>25</v>
      </c>
      <c r="T28" s="35" t="n">
        <f aca="false">SUM(T20:T27)</f>
        <v>4.5</v>
      </c>
      <c r="U28" s="35" t="n">
        <f aca="false">SUM(U20:U27)</f>
        <v>212</v>
      </c>
      <c r="V28" s="36" t="n">
        <f aca="false">SUM(V20:V27)</f>
        <v>35430</v>
      </c>
    </row>
    <row r="29" customFormat="false" ht="15" hidden="false" customHeight="false" outlineLevel="0" collapsed="false">
      <c r="B29" s="5" t="s">
        <v>600</v>
      </c>
      <c r="V29" s="10" t="n">
        <f aca="false">'Financial Offer'!D6</f>
        <v>35400</v>
      </c>
    </row>
    <row r="30" customFormat="false" ht="15" hidden="false" customHeight="false" outlineLevel="0" collapsed="false">
      <c r="B30" s="2" t="s">
        <v>601</v>
      </c>
      <c r="V30" s="37" t="n">
        <f aca="false">V29-V28</f>
        <v>-30</v>
      </c>
    </row>
    <row r="32" customFormat="false" ht="26.85" hidden="false" customHeight="false" outlineLevel="0" collapsed="false">
      <c r="A32" s="13" t="s">
        <v>548</v>
      </c>
      <c r="B32" s="13" t="s">
        <v>566</v>
      </c>
      <c r="C32" s="27" t="s">
        <v>567</v>
      </c>
      <c r="D32" s="19" t="n">
        <v>46601</v>
      </c>
      <c r="E32" s="19" t="n">
        <v>46605</v>
      </c>
      <c r="F32" s="13" t="n">
        <f aca="false">NETWORKDAYS(D32,E32,Assumptions!$A$16:$A$19)</f>
        <v>5</v>
      </c>
      <c r="G32" s="13" t="s">
        <v>619</v>
      </c>
      <c r="H32" s="13" t="s">
        <v>594</v>
      </c>
      <c r="I32" s="22"/>
      <c r="J32" s="22" t="n">
        <f aca="false">SUM(M32:R32)</f>
        <v>2.5</v>
      </c>
      <c r="K32" s="28" t="str">
        <f aca="false">IF(J32&gt;0,IF(I32&gt;0,I32/J32,""),"")</f>
        <v/>
      </c>
      <c r="L32" s="29" t="n">
        <f aca="false">$F32*0.1</f>
        <v>0.5</v>
      </c>
      <c r="M32" s="29" t="n">
        <f aca="false">$F32*0.5</f>
        <v>2.5</v>
      </c>
      <c r="N32" s="29"/>
      <c r="O32" s="29"/>
      <c r="P32" s="29"/>
      <c r="Q32" s="29"/>
      <c r="R32" s="29"/>
      <c r="S32" s="29"/>
      <c r="T32" s="29"/>
      <c r="U32" s="29" t="n">
        <f aca="false">SUM(L32:T32)</f>
        <v>3</v>
      </c>
      <c r="V32" s="30" t="n">
        <f aca="false">L32*Assumptions!$C$5+M32*Assumptions!$C$6+N32*Assumptions!$C$7+O32*Assumptions!$C$8+P32*Assumptions!$C$9+Q32*Assumptions!$C$10+R32*Assumptions!$C$11+S32*Assumptions!$C$12+T32*Assumptions!$C$13</f>
        <v>715</v>
      </c>
    </row>
    <row r="33" customFormat="false" ht="26.85" hidden="false" customHeight="false" outlineLevel="0" collapsed="false">
      <c r="A33" s="13" t="s">
        <v>548</v>
      </c>
      <c r="B33" s="13" t="s">
        <v>620</v>
      </c>
      <c r="C33" s="31" t="s">
        <v>571</v>
      </c>
      <c r="D33" s="19" t="n">
        <v>46608</v>
      </c>
      <c r="E33" s="19" t="n">
        <v>46619</v>
      </c>
      <c r="F33" s="13" t="n">
        <f aca="false">NETWORKDAYS(D33,E33,Assumptions!$A$16:$A$19)</f>
        <v>10</v>
      </c>
      <c r="G33" s="13" t="s">
        <v>621</v>
      </c>
      <c r="H33" s="13" t="s">
        <v>622</v>
      </c>
      <c r="I33" s="22" t="n">
        <v>10.5</v>
      </c>
      <c r="J33" s="22" t="n">
        <f aca="false">SUM(M33:R33)</f>
        <v>14</v>
      </c>
      <c r="K33" s="28" t="n">
        <f aca="false">IF(J33&gt;0,IF(I33&gt;0,I33/J33,""),"")</f>
        <v>0.75</v>
      </c>
      <c r="L33" s="29" t="n">
        <f aca="false">$F33*0.05</f>
        <v>0.5</v>
      </c>
      <c r="M33" s="29" t="n">
        <f aca="false">$F33*0.15</f>
        <v>1.5</v>
      </c>
      <c r="N33" s="29" t="n">
        <f aca="false">$F33*0.25</f>
        <v>2.5</v>
      </c>
      <c r="O33" s="29"/>
      <c r="P33" s="29" t="n">
        <f aca="false">$F33*1</f>
        <v>10</v>
      </c>
      <c r="Q33" s="29"/>
      <c r="R33" s="29"/>
      <c r="S33" s="29" t="n">
        <f aca="false">$F33*0.15</f>
        <v>1.5</v>
      </c>
      <c r="T33" s="29"/>
      <c r="U33" s="29" t="n">
        <f aca="false">SUM(L33:T33)</f>
        <v>16</v>
      </c>
      <c r="V33" s="30" t="n">
        <f aca="false">L33*Assumptions!$C$5+M33*Assumptions!$C$6+N33*Assumptions!$C$7+O33*Assumptions!$C$8+P33*Assumptions!$C$9+Q33*Assumptions!$C$10+R33*Assumptions!$C$11+S33*Assumptions!$C$12+T33*Assumptions!$C$13</f>
        <v>2465</v>
      </c>
    </row>
    <row r="34" customFormat="false" ht="26.85" hidden="false" customHeight="false" outlineLevel="0" collapsed="false">
      <c r="A34" s="13" t="s">
        <v>548</v>
      </c>
      <c r="B34" s="13" t="s">
        <v>623</v>
      </c>
      <c r="C34" s="31" t="s">
        <v>571</v>
      </c>
      <c r="D34" s="19" t="n">
        <v>46622</v>
      </c>
      <c r="E34" s="19" t="n">
        <v>46633</v>
      </c>
      <c r="F34" s="13" t="n">
        <f aca="false">NETWORKDAYS(D34,E34,Assumptions!$A$16:$A$19)</f>
        <v>10</v>
      </c>
      <c r="G34" s="13" t="s">
        <v>624</v>
      </c>
      <c r="H34" s="13" t="s">
        <v>625</v>
      </c>
      <c r="I34" s="22" t="n">
        <v>12.5</v>
      </c>
      <c r="J34" s="22" t="n">
        <f aca="false">SUM(M34:R34)</f>
        <v>14</v>
      </c>
      <c r="K34" s="28" t="n">
        <f aca="false">IF(J34&gt;0,IF(I34&gt;0,I34/J34,""),"")</f>
        <v>0.892857142857143</v>
      </c>
      <c r="L34" s="29" t="n">
        <f aca="false">$F34*0.05</f>
        <v>0.5</v>
      </c>
      <c r="M34" s="29" t="n">
        <f aca="false">$F34*0.15</f>
        <v>1.5</v>
      </c>
      <c r="N34" s="29" t="n">
        <f aca="false">$F34*0.25</f>
        <v>2.5</v>
      </c>
      <c r="O34" s="29"/>
      <c r="P34" s="29" t="n">
        <f aca="false">$F34*1</f>
        <v>10</v>
      </c>
      <c r="Q34" s="29"/>
      <c r="R34" s="29"/>
      <c r="S34" s="29" t="n">
        <f aca="false">$F34*0.15</f>
        <v>1.5</v>
      </c>
      <c r="T34" s="29"/>
      <c r="U34" s="29" t="n">
        <f aca="false">SUM(L34:T34)</f>
        <v>16</v>
      </c>
      <c r="V34" s="30" t="n">
        <f aca="false">L34*Assumptions!$C$5+M34*Assumptions!$C$6+N34*Assumptions!$C$7+O34*Assumptions!$C$8+P34*Assumptions!$C$9+Q34*Assumptions!$C$10+R34*Assumptions!$C$11+S34*Assumptions!$C$12+T34*Assumptions!$C$13</f>
        <v>2465</v>
      </c>
    </row>
    <row r="35" customFormat="false" ht="26.85" hidden="false" customHeight="false" outlineLevel="0" collapsed="false">
      <c r="A35" s="13" t="s">
        <v>548</v>
      </c>
      <c r="B35" s="13" t="s">
        <v>499</v>
      </c>
      <c r="C35" s="32" t="s">
        <v>592</v>
      </c>
      <c r="D35" s="19" t="n">
        <v>46636</v>
      </c>
      <c r="E35" s="19" t="n">
        <v>46640</v>
      </c>
      <c r="F35" s="13" t="n">
        <f aca="false">NETWORKDAYS(D35,E35,Assumptions!$A$16:$A$19)</f>
        <v>5</v>
      </c>
      <c r="G35" s="13" t="s">
        <v>626</v>
      </c>
      <c r="H35" s="13" t="s">
        <v>594</v>
      </c>
      <c r="I35" s="22"/>
      <c r="J35" s="22" t="n">
        <f aca="false">SUM(M35:R35)</f>
        <v>4</v>
      </c>
      <c r="K35" s="28" t="str">
        <f aca="false">IF(J35&gt;0,IF(I35&gt;0,I35/J35,""),"")</f>
        <v/>
      </c>
      <c r="L35" s="29"/>
      <c r="M35" s="29"/>
      <c r="N35" s="29"/>
      <c r="O35" s="29"/>
      <c r="P35" s="29" t="n">
        <f aca="false">$F35*0.8</f>
        <v>4</v>
      </c>
      <c r="Q35" s="29"/>
      <c r="R35" s="29"/>
      <c r="S35" s="29" t="n">
        <f aca="false">$F35*0.5</f>
        <v>2.5</v>
      </c>
      <c r="T35" s="29"/>
      <c r="U35" s="29" t="n">
        <f aca="false">SUM(L35:T35)</f>
        <v>6.5</v>
      </c>
      <c r="V35" s="30" t="n">
        <f aca="false">L35*Assumptions!$C$5+M35*Assumptions!$C$6+N35*Assumptions!$C$7+O35*Assumptions!$C$8+P35*Assumptions!$C$9+Q35*Assumptions!$C$10+R35*Assumptions!$C$11+S35*Assumptions!$C$12+T35*Assumptions!$C$13</f>
        <v>840</v>
      </c>
    </row>
    <row r="36" customFormat="false" ht="26.85" hidden="false" customHeight="false" outlineLevel="0" collapsed="false">
      <c r="A36" s="13" t="s">
        <v>548</v>
      </c>
      <c r="B36" s="13" t="s">
        <v>509</v>
      </c>
      <c r="C36" s="33" t="s">
        <v>595</v>
      </c>
      <c r="D36" s="19" t="n">
        <v>46643</v>
      </c>
      <c r="E36" s="19" t="n">
        <v>46647</v>
      </c>
      <c r="F36" s="13" t="n">
        <f aca="false">NETWORKDAYS(D36,E36,Assumptions!$A$16:$A$19)</f>
        <v>5</v>
      </c>
      <c r="G36" s="13" t="s">
        <v>627</v>
      </c>
      <c r="H36" s="13" t="s">
        <v>594</v>
      </c>
      <c r="I36" s="22"/>
      <c r="J36" s="22" t="n">
        <f aca="false">SUM(M36:R36)</f>
        <v>4</v>
      </c>
      <c r="K36" s="28" t="str">
        <f aca="false">IF(J36&gt;0,IF(I36&gt;0,I36/J36,""),"")</f>
        <v/>
      </c>
      <c r="L36" s="29"/>
      <c r="M36" s="29" t="n">
        <f aca="false">$F36*0.5</f>
        <v>2.5</v>
      </c>
      <c r="N36" s="29"/>
      <c r="O36" s="29"/>
      <c r="P36" s="29" t="n">
        <f aca="false">$F36*0.3</f>
        <v>1.5</v>
      </c>
      <c r="Q36" s="29"/>
      <c r="R36" s="29"/>
      <c r="S36" s="29" t="n">
        <f aca="false">$F36*0.3</f>
        <v>1.5</v>
      </c>
      <c r="T36" s="29"/>
      <c r="U36" s="29" t="n">
        <f aca="false">SUM(L36:T36)</f>
        <v>5.5</v>
      </c>
      <c r="V36" s="30" t="n">
        <f aca="false">L36*Assumptions!$C$5+M36*Assumptions!$C$6+N36*Assumptions!$C$7+O36*Assumptions!$C$8+P36*Assumptions!$C$9+Q36*Assumptions!$C$10+R36*Assumptions!$C$11+S36*Assumptions!$C$12+T36*Assumptions!$C$13</f>
        <v>957.5</v>
      </c>
    </row>
    <row r="37" customFormat="false" ht="26.85" hidden="false" customHeight="false" outlineLevel="0" collapsed="false">
      <c r="A37" s="13" t="s">
        <v>548</v>
      </c>
      <c r="B37" s="13" t="s">
        <v>517</v>
      </c>
      <c r="C37" s="34" t="s">
        <v>597</v>
      </c>
      <c r="D37" s="19" t="n">
        <v>46650</v>
      </c>
      <c r="E37" s="19" t="n">
        <v>46654</v>
      </c>
      <c r="F37" s="13" t="n">
        <f aca="false">NETWORKDAYS(D37,E37,Assumptions!$A$16:$A$19)</f>
        <v>5</v>
      </c>
      <c r="G37" s="13" t="s">
        <v>628</v>
      </c>
      <c r="H37" s="13" t="s">
        <v>594</v>
      </c>
      <c r="I37" s="22"/>
      <c r="J37" s="22" t="n">
        <f aca="false">SUM(M37:R37)</f>
        <v>1.5</v>
      </c>
      <c r="K37" s="28" t="str">
        <f aca="false">IF(J37&gt;0,IF(I37&gt;0,I37/J37,""),"")</f>
        <v/>
      </c>
      <c r="L37" s="29"/>
      <c r="M37" s="29"/>
      <c r="N37" s="29"/>
      <c r="O37" s="29"/>
      <c r="P37" s="29" t="n">
        <f aca="false">$F37*0.3</f>
        <v>1.5</v>
      </c>
      <c r="Q37" s="29"/>
      <c r="R37" s="29"/>
      <c r="S37" s="29"/>
      <c r="T37" s="29" t="n">
        <f aca="false">$F37*0.1</f>
        <v>0.5</v>
      </c>
      <c r="U37" s="29" t="n">
        <f aca="false">SUM(L37:T37)</f>
        <v>2</v>
      </c>
      <c r="V37" s="30" t="n">
        <f aca="false">L37*Assumptions!$C$5+M37*Assumptions!$C$6+N37*Assumptions!$C$7+O37*Assumptions!$C$8+P37*Assumptions!$C$9+Q37*Assumptions!$C$10+R37*Assumptions!$C$11+S37*Assumptions!$C$12+T37*Assumptions!$C$13</f>
        <v>292.5</v>
      </c>
    </row>
    <row r="38" customFormat="false" ht="15" hidden="false" customHeight="false" outlineLevel="0" collapsed="false">
      <c r="B38" s="3" t="s">
        <v>629</v>
      </c>
      <c r="I38" s="35" t="n">
        <f aca="false">SUM(I32:I37)</f>
        <v>23</v>
      </c>
      <c r="J38" s="35" t="n">
        <f aca="false">SUM(J32:J37)</f>
        <v>40</v>
      </c>
      <c r="L38" s="35" t="n">
        <f aca="false">SUM(L32:L37)</f>
        <v>1.5</v>
      </c>
      <c r="M38" s="35" t="n">
        <f aca="false">SUM(M32:M37)</f>
        <v>8</v>
      </c>
      <c r="N38" s="35" t="n">
        <f aca="false">SUM(N32:N37)</f>
        <v>5</v>
      </c>
      <c r="O38" s="35" t="n">
        <f aca="false">SUM(O32:O37)</f>
        <v>0</v>
      </c>
      <c r="P38" s="35" t="n">
        <f aca="false">SUM(P32:P37)</f>
        <v>27</v>
      </c>
      <c r="Q38" s="35" t="n">
        <f aca="false">SUM(Q32:Q37)</f>
        <v>0</v>
      </c>
      <c r="R38" s="35" t="n">
        <f aca="false">SUM(R32:R37)</f>
        <v>0</v>
      </c>
      <c r="S38" s="35" t="n">
        <f aca="false">SUM(S32:S37)</f>
        <v>7</v>
      </c>
      <c r="T38" s="35" t="n">
        <f aca="false">SUM(T32:T37)</f>
        <v>0.5</v>
      </c>
      <c r="U38" s="35" t="n">
        <f aca="false">SUM(U32:U37)</f>
        <v>49</v>
      </c>
      <c r="V38" s="36" t="n">
        <f aca="false">SUM(V32:V37)</f>
        <v>7735</v>
      </c>
    </row>
    <row r="39" customFormat="false" ht="15" hidden="false" customHeight="false" outlineLevel="0" collapsed="false">
      <c r="B39" s="5" t="s">
        <v>600</v>
      </c>
      <c r="V39" s="10" t="n">
        <f aca="false">'Financial Offer'!D7</f>
        <v>7700</v>
      </c>
    </row>
    <row r="40" customFormat="false" ht="15" hidden="false" customHeight="false" outlineLevel="0" collapsed="false">
      <c r="B40" s="2" t="s">
        <v>601</v>
      </c>
      <c r="V40" s="37" t="n">
        <f aca="false">V39-V38</f>
        <v>-35</v>
      </c>
    </row>
    <row r="42" customFormat="false" ht="15" hidden="false" customHeight="false" outlineLevel="0" collapsed="false">
      <c r="B42" s="3" t="s">
        <v>630</v>
      </c>
      <c r="L42" s="16" t="n">
        <f aca="false">L16+L28+L38</f>
        <v>37.7</v>
      </c>
      <c r="M42" s="16" t="n">
        <f aca="false">M16+M28+M38</f>
        <v>111.7</v>
      </c>
      <c r="N42" s="16" t="n">
        <f aca="false">N16+N28+N38</f>
        <v>142.5</v>
      </c>
      <c r="O42" s="16" t="n">
        <f aca="false">O16+O28+O38</f>
        <v>77</v>
      </c>
      <c r="P42" s="16" t="n">
        <f aca="false">P16+P28+P38</f>
        <v>154.5</v>
      </c>
      <c r="Q42" s="16" t="n">
        <f aca="false">Q16+Q28+Q38</f>
        <v>111</v>
      </c>
      <c r="R42" s="16" t="n">
        <f aca="false">R16+R28+R38</f>
        <v>69</v>
      </c>
      <c r="S42" s="16" t="n">
        <f aca="false">S16+S28+S38</f>
        <v>78.4</v>
      </c>
      <c r="T42" s="16" t="n">
        <f aca="false">T16+T28+T38</f>
        <v>17.8</v>
      </c>
      <c r="U42" s="16" t="n">
        <f aca="false">U16+U28+U38</f>
        <v>799.6</v>
      </c>
      <c r="V42" s="25" t="n">
        <f aca="false">V16+V28+V38</f>
        <v>133526.5</v>
      </c>
    </row>
    <row r="43" customFormat="false" ht="15" hidden="false" customHeight="false" outlineLevel="0" collapsed="false">
      <c r="B43" s="2" t="s">
        <v>631</v>
      </c>
      <c r="V43" s="2" t="str">
        <f aca="false">IF(ABS(V42-'Staffing Plan'!K81)&lt;1,"OK","Check")</f>
        <v>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Z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4" topLeftCell="G5" activePane="bottomRight" state="frozen"/>
      <selection pane="topLeft" activeCell="A1" activeCellId="0" sqref="A1"/>
      <selection pane="topRight" activeCell="G1" activeCellId="0" sqref="G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6"/>
    <col collapsed="false" customWidth="true" hidden="false" outlineLevel="0" max="4" min="3" style="0" width="12"/>
    <col collapsed="false" customWidth="true" hidden="false" outlineLevel="0" max="5" min="5" style="0" width="6"/>
    <col collapsed="false" customWidth="true" hidden="false" outlineLevel="0" max="6" min="6" style="0" width="11"/>
    <col collapsed="false" customWidth="true" hidden="false" outlineLevel="0" max="52" min="7" style="0" width="3.61"/>
  </cols>
  <sheetData>
    <row r="1" customFormat="false" ht="17.35" hidden="false" customHeight="false" outlineLevel="0" collapsed="false">
      <c r="A1" s="1" t="s">
        <v>632</v>
      </c>
    </row>
    <row r="2" customFormat="false" ht="15" hidden="false" customHeight="false" outlineLevel="0" collapsed="false">
      <c r="A2" s="2" t="s">
        <v>633</v>
      </c>
    </row>
    <row r="3" customFormat="false" ht="15" hidden="false" customHeight="false" outlineLevel="0" collapsed="false">
      <c r="G3" s="38" t="s">
        <v>634</v>
      </c>
      <c r="J3" s="38" t="s">
        <v>635</v>
      </c>
      <c r="N3" s="38" t="s">
        <v>636</v>
      </c>
      <c r="R3" s="38" t="s">
        <v>637</v>
      </c>
      <c r="V3" s="38" t="s">
        <v>638</v>
      </c>
      <c r="AA3" s="38" t="s">
        <v>639</v>
      </c>
      <c r="AE3" s="38" t="s">
        <v>640</v>
      </c>
      <c r="AJ3" s="38" t="s">
        <v>641</v>
      </c>
      <c r="AN3" s="38" t="s">
        <v>642</v>
      </c>
      <c r="AR3" s="38" t="s">
        <v>643</v>
      </c>
      <c r="AW3" s="38" t="s">
        <v>644</v>
      </c>
    </row>
    <row r="4" customFormat="false" ht="15" hidden="false" customHeight="false" outlineLevel="0" collapsed="false">
      <c r="A4" s="39" t="s">
        <v>441</v>
      </c>
      <c r="B4" s="39" t="s">
        <v>560</v>
      </c>
      <c r="C4" s="39" t="s">
        <v>474</v>
      </c>
      <c r="D4" s="39" t="s">
        <v>475</v>
      </c>
      <c r="E4" s="39" t="s">
        <v>645</v>
      </c>
      <c r="F4" s="39" t="s">
        <v>480</v>
      </c>
      <c r="G4" s="40" t="n">
        <v>16</v>
      </c>
      <c r="H4" s="40" t="n">
        <v>23</v>
      </c>
      <c r="I4" s="40" t="n">
        <v>30</v>
      </c>
      <c r="J4" s="40" t="n">
        <v>7</v>
      </c>
      <c r="K4" s="40" t="n">
        <v>14</v>
      </c>
      <c r="L4" s="40" t="n">
        <v>21</v>
      </c>
      <c r="M4" s="40" t="n">
        <v>28</v>
      </c>
      <c r="N4" s="40" t="n">
        <v>4</v>
      </c>
      <c r="O4" s="40" t="n">
        <v>11</v>
      </c>
      <c r="P4" s="40" t="n">
        <v>18</v>
      </c>
      <c r="Q4" s="40" t="n">
        <v>25</v>
      </c>
      <c r="R4" s="40" t="n">
        <v>1</v>
      </c>
      <c r="S4" s="40" t="n">
        <v>8</v>
      </c>
      <c r="T4" s="40" t="n">
        <v>15</v>
      </c>
      <c r="U4" s="40" t="n">
        <v>22</v>
      </c>
      <c r="V4" s="40" t="n">
        <v>1</v>
      </c>
      <c r="W4" s="40" t="n">
        <v>8</v>
      </c>
      <c r="X4" s="40" t="n">
        <v>15</v>
      </c>
      <c r="Y4" s="40" t="n">
        <v>22</v>
      </c>
      <c r="Z4" s="40" t="n">
        <v>29</v>
      </c>
      <c r="AA4" s="40" t="n">
        <v>5</v>
      </c>
      <c r="AB4" s="40" t="n">
        <v>12</v>
      </c>
      <c r="AC4" s="40" t="n">
        <v>19</v>
      </c>
      <c r="AD4" s="40" t="n">
        <v>26</v>
      </c>
      <c r="AE4" s="40" t="n">
        <v>3</v>
      </c>
      <c r="AF4" s="40" t="n">
        <v>10</v>
      </c>
      <c r="AG4" s="40" t="n">
        <v>17</v>
      </c>
      <c r="AH4" s="40" t="n">
        <v>24</v>
      </c>
      <c r="AI4" s="40" t="n">
        <v>31</v>
      </c>
      <c r="AJ4" s="40" t="n">
        <v>7</v>
      </c>
      <c r="AK4" s="40" t="n">
        <v>14</v>
      </c>
      <c r="AL4" s="40" t="n">
        <v>21</v>
      </c>
      <c r="AM4" s="40" t="n">
        <v>28</v>
      </c>
      <c r="AN4" s="40" t="n">
        <v>5</v>
      </c>
      <c r="AO4" s="40" t="n">
        <v>12</v>
      </c>
      <c r="AP4" s="40" t="n">
        <v>19</v>
      </c>
      <c r="AQ4" s="40" t="n">
        <v>26</v>
      </c>
      <c r="AR4" s="40" t="n">
        <v>2</v>
      </c>
      <c r="AS4" s="40" t="n">
        <v>9</v>
      </c>
      <c r="AT4" s="40" t="n">
        <v>16</v>
      </c>
      <c r="AU4" s="40" t="n">
        <v>23</v>
      </c>
      <c r="AV4" s="40" t="n">
        <v>30</v>
      </c>
      <c r="AW4" s="40" t="n">
        <v>6</v>
      </c>
      <c r="AX4" s="40" t="n">
        <v>13</v>
      </c>
      <c r="AY4" s="40" t="n">
        <v>20</v>
      </c>
      <c r="AZ4" s="40" t="n">
        <v>27</v>
      </c>
    </row>
    <row r="5" customFormat="false" ht="15" hidden="false" customHeight="false" outlineLevel="0" collapsed="false">
      <c r="A5" s="41" t="s">
        <v>482</v>
      </c>
      <c r="B5" s="41" t="s">
        <v>566</v>
      </c>
      <c r="C5" s="42" t="n">
        <f aca="false">'Sprint Plan'!D5</f>
        <v>46342</v>
      </c>
      <c r="D5" s="42" t="n">
        <f aca="false">'Sprint Plan'!E5</f>
        <v>46346</v>
      </c>
      <c r="E5" s="43" t="n">
        <f aca="false">'Sprint Plan'!F5</f>
        <v>5</v>
      </c>
      <c r="F5" s="44" t="n">
        <f aca="false">'Sprint Plan'!V5</f>
        <v>2610</v>
      </c>
      <c r="G5" s="45"/>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row>
    <row r="6" customFormat="false" ht="15" hidden="false" customHeight="false" outlineLevel="0" collapsed="false">
      <c r="A6" s="41" t="s">
        <v>482</v>
      </c>
      <c r="B6" s="41" t="s">
        <v>570</v>
      </c>
      <c r="C6" s="42" t="n">
        <f aca="false">'Sprint Plan'!D6</f>
        <v>46349</v>
      </c>
      <c r="D6" s="42" t="n">
        <f aca="false">'Sprint Plan'!E6</f>
        <v>46360</v>
      </c>
      <c r="E6" s="43" t="n">
        <f aca="false">'Sprint Plan'!F6</f>
        <v>10</v>
      </c>
      <c r="F6" s="44" t="n">
        <f aca="false">'Sprint Plan'!V6</f>
        <v>10390</v>
      </c>
      <c r="G6" s="46"/>
      <c r="H6" s="47"/>
      <c r="I6" s="47"/>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row>
    <row r="7" customFormat="false" ht="15" hidden="false" customHeight="false" outlineLevel="0" collapsed="false">
      <c r="A7" s="41" t="s">
        <v>482</v>
      </c>
      <c r="B7" s="41" t="s">
        <v>574</v>
      </c>
      <c r="C7" s="42" t="n">
        <f aca="false">'Sprint Plan'!D7</f>
        <v>46363</v>
      </c>
      <c r="D7" s="42" t="n">
        <f aca="false">'Sprint Plan'!E7</f>
        <v>46374</v>
      </c>
      <c r="E7" s="43" t="n">
        <f aca="false">'Sprint Plan'!F7</f>
        <v>10</v>
      </c>
      <c r="F7" s="44" t="n">
        <f aca="false">'Sprint Plan'!V7</f>
        <v>10390</v>
      </c>
      <c r="G7" s="46"/>
      <c r="H7" s="46"/>
      <c r="I7" s="46"/>
      <c r="J7" s="47"/>
      <c r="K7" s="47"/>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row>
    <row r="8" customFormat="false" ht="15" hidden="false" customHeight="false" outlineLevel="0" collapsed="false">
      <c r="A8" s="41" t="s">
        <v>482</v>
      </c>
      <c r="B8" s="41" t="s">
        <v>577</v>
      </c>
      <c r="C8" s="42" t="n">
        <f aca="false">'Sprint Plan'!D8</f>
        <v>46377</v>
      </c>
      <c r="D8" s="42" t="n">
        <f aca="false">'Sprint Plan'!E8</f>
        <v>46388</v>
      </c>
      <c r="E8" s="43" t="n">
        <f aca="false">'Sprint Plan'!F8</f>
        <v>6</v>
      </c>
      <c r="F8" s="44" t="n">
        <f aca="false">'Sprint Plan'!V8</f>
        <v>6234</v>
      </c>
      <c r="G8" s="46"/>
      <c r="H8" s="46"/>
      <c r="I8" s="46"/>
      <c r="J8" s="46"/>
      <c r="K8" s="46"/>
      <c r="L8" s="47"/>
      <c r="M8" s="47"/>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row>
    <row r="9" customFormat="false" ht="15" hidden="false" customHeight="false" outlineLevel="0" collapsed="false">
      <c r="A9" s="41" t="s">
        <v>482</v>
      </c>
      <c r="B9" s="41" t="s">
        <v>580</v>
      </c>
      <c r="C9" s="42" t="n">
        <f aca="false">'Sprint Plan'!D9</f>
        <v>46391</v>
      </c>
      <c r="D9" s="42" t="n">
        <f aca="false">'Sprint Plan'!E9</f>
        <v>46402</v>
      </c>
      <c r="E9" s="43" t="n">
        <f aca="false">'Sprint Plan'!F9</f>
        <v>10</v>
      </c>
      <c r="F9" s="44" t="n">
        <f aca="false">'Sprint Plan'!V9</f>
        <v>10390</v>
      </c>
      <c r="G9" s="46"/>
      <c r="H9" s="46"/>
      <c r="I9" s="46"/>
      <c r="J9" s="46"/>
      <c r="K9" s="46"/>
      <c r="L9" s="46"/>
      <c r="M9" s="46"/>
      <c r="N9" s="47"/>
      <c r="O9" s="47"/>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row>
    <row r="10" customFormat="false" ht="15" hidden="false" customHeight="false" outlineLevel="0" collapsed="false">
      <c r="A10" s="41" t="s">
        <v>482</v>
      </c>
      <c r="B10" s="41" t="s">
        <v>583</v>
      </c>
      <c r="C10" s="42" t="n">
        <f aca="false">'Sprint Plan'!D10</f>
        <v>46405</v>
      </c>
      <c r="D10" s="42" t="n">
        <f aca="false">'Sprint Plan'!E10</f>
        <v>46416</v>
      </c>
      <c r="E10" s="43" t="n">
        <f aca="false">'Sprint Plan'!F10</f>
        <v>10</v>
      </c>
      <c r="F10" s="44" t="n">
        <f aca="false">'Sprint Plan'!V10</f>
        <v>10390</v>
      </c>
      <c r="G10" s="46"/>
      <c r="H10" s="46"/>
      <c r="I10" s="46"/>
      <c r="J10" s="46"/>
      <c r="K10" s="46"/>
      <c r="L10" s="46"/>
      <c r="M10" s="46"/>
      <c r="N10" s="46"/>
      <c r="O10" s="46"/>
      <c r="P10" s="47"/>
      <c r="Q10" s="47"/>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row>
    <row r="11" customFormat="false" ht="15" hidden="false" customHeight="false" outlineLevel="0" collapsed="false">
      <c r="A11" s="41" t="s">
        <v>482</v>
      </c>
      <c r="B11" s="41" t="s">
        <v>586</v>
      </c>
      <c r="C11" s="42" t="n">
        <f aca="false">'Sprint Plan'!D11</f>
        <v>46419</v>
      </c>
      <c r="D11" s="42" t="n">
        <f aca="false">'Sprint Plan'!E11</f>
        <v>46430</v>
      </c>
      <c r="E11" s="43" t="n">
        <f aca="false">'Sprint Plan'!F11</f>
        <v>10</v>
      </c>
      <c r="F11" s="44" t="n">
        <f aca="false">'Sprint Plan'!V11</f>
        <v>10390</v>
      </c>
      <c r="G11" s="46"/>
      <c r="H11" s="46"/>
      <c r="I11" s="46"/>
      <c r="J11" s="46"/>
      <c r="K11" s="46"/>
      <c r="L11" s="46"/>
      <c r="M11" s="46"/>
      <c r="N11" s="46"/>
      <c r="O11" s="46"/>
      <c r="P11" s="46"/>
      <c r="Q11" s="46"/>
      <c r="R11" s="47"/>
      <c r="S11" s="47"/>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row>
    <row r="12" customFormat="false" ht="15" hidden="false" customHeight="false" outlineLevel="0" collapsed="false">
      <c r="A12" s="41" t="s">
        <v>482</v>
      </c>
      <c r="B12" s="41" t="s">
        <v>589</v>
      </c>
      <c r="C12" s="42" t="n">
        <f aca="false">'Sprint Plan'!D12</f>
        <v>46433</v>
      </c>
      <c r="D12" s="42" t="n">
        <f aca="false">'Sprint Plan'!E12</f>
        <v>46444</v>
      </c>
      <c r="E12" s="43" t="n">
        <f aca="false">'Sprint Plan'!F12</f>
        <v>10</v>
      </c>
      <c r="F12" s="44" t="n">
        <f aca="false">'Sprint Plan'!V12</f>
        <v>10390</v>
      </c>
      <c r="G12" s="46"/>
      <c r="H12" s="46"/>
      <c r="I12" s="46"/>
      <c r="J12" s="46"/>
      <c r="K12" s="46"/>
      <c r="L12" s="46"/>
      <c r="M12" s="46"/>
      <c r="N12" s="46"/>
      <c r="O12" s="46"/>
      <c r="P12" s="46"/>
      <c r="Q12" s="46"/>
      <c r="R12" s="46"/>
      <c r="S12" s="46"/>
      <c r="T12" s="47"/>
      <c r="U12" s="47"/>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row>
    <row r="13" customFormat="false" ht="15" hidden="false" customHeight="false" outlineLevel="0" collapsed="false">
      <c r="A13" s="41" t="s">
        <v>482</v>
      </c>
      <c r="B13" s="41" t="s">
        <v>499</v>
      </c>
      <c r="C13" s="42" t="n">
        <f aca="false">'Sprint Plan'!D13</f>
        <v>46447</v>
      </c>
      <c r="D13" s="42" t="n">
        <f aca="false">'Sprint Plan'!E13</f>
        <v>46458</v>
      </c>
      <c r="E13" s="43" t="n">
        <f aca="false">'Sprint Plan'!F13</f>
        <v>10</v>
      </c>
      <c r="F13" s="44" t="n">
        <f aca="false">'Sprint Plan'!V13</f>
        <v>8315</v>
      </c>
      <c r="G13" s="46"/>
      <c r="H13" s="46"/>
      <c r="I13" s="46"/>
      <c r="J13" s="46"/>
      <c r="K13" s="46"/>
      <c r="L13" s="46"/>
      <c r="M13" s="46"/>
      <c r="N13" s="46"/>
      <c r="O13" s="46"/>
      <c r="P13" s="46"/>
      <c r="Q13" s="46"/>
      <c r="R13" s="46"/>
      <c r="S13" s="46"/>
      <c r="T13" s="46"/>
      <c r="U13" s="46"/>
      <c r="V13" s="48"/>
      <c r="W13" s="48"/>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row>
    <row r="14" customFormat="false" ht="15" hidden="false" customHeight="false" outlineLevel="0" collapsed="false">
      <c r="A14" s="41" t="s">
        <v>482</v>
      </c>
      <c r="B14" s="41" t="s">
        <v>509</v>
      </c>
      <c r="C14" s="42" t="n">
        <f aca="false">'Sprint Plan'!D14</f>
        <v>46461</v>
      </c>
      <c r="D14" s="42" t="n">
        <f aca="false">'Sprint Plan'!E14</f>
        <v>46479</v>
      </c>
      <c r="E14" s="43" t="n">
        <f aca="false">'Sprint Plan'!F14</f>
        <v>15</v>
      </c>
      <c r="F14" s="44" t="n">
        <f aca="false">'Sprint Plan'!V14</f>
        <v>7597.5</v>
      </c>
      <c r="G14" s="46"/>
      <c r="H14" s="46"/>
      <c r="I14" s="46"/>
      <c r="J14" s="46"/>
      <c r="K14" s="46"/>
      <c r="L14" s="46"/>
      <c r="M14" s="46"/>
      <c r="N14" s="46"/>
      <c r="O14" s="46"/>
      <c r="P14" s="46"/>
      <c r="Q14" s="46"/>
      <c r="R14" s="46"/>
      <c r="S14" s="46"/>
      <c r="T14" s="46"/>
      <c r="U14" s="46"/>
      <c r="V14" s="46"/>
      <c r="W14" s="46"/>
      <c r="X14" s="49"/>
      <c r="Y14" s="49"/>
      <c r="Z14" s="49"/>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row>
    <row r="15" customFormat="false" ht="15" hidden="false" customHeight="false" outlineLevel="0" collapsed="false">
      <c r="A15" s="41" t="s">
        <v>482</v>
      </c>
      <c r="B15" s="41" t="s">
        <v>517</v>
      </c>
      <c r="C15" s="42" t="n">
        <f aca="false">'Sprint Plan'!D15</f>
        <v>46482</v>
      </c>
      <c r="D15" s="42" t="n">
        <f aca="false">'Sprint Plan'!E15</f>
        <v>46493</v>
      </c>
      <c r="E15" s="43" t="n">
        <f aca="false">'Sprint Plan'!F15</f>
        <v>10</v>
      </c>
      <c r="F15" s="44" t="n">
        <f aca="false">'Sprint Plan'!V15</f>
        <v>3265</v>
      </c>
      <c r="G15" s="46"/>
      <c r="H15" s="46"/>
      <c r="I15" s="46"/>
      <c r="J15" s="46"/>
      <c r="K15" s="46"/>
      <c r="L15" s="46"/>
      <c r="M15" s="46"/>
      <c r="N15" s="46"/>
      <c r="O15" s="46"/>
      <c r="P15" s="46"/>
      <c r="Q15" s="46"/>
      <c r="R15" s="46"/>
      <c r="S15" s="46"/>
      <c r="T15" s="46"/>
      <c r="U15" s="46"/>
      <c r="V15" s="46"/>
      <c r="W15" s="46"/>
      <c r="X15" s="46"/>
      <c r="Y15" s="46"/>
      <c r="Z15" s="46"/>
      <c r="AA15" s="50" t="s">
        <v>646</v>
      </c>
      <c r="AB15" s="51"/>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row>
    <row r="17" customFormat="false" ht="15" hidden="false" customHeight="false" outlineLevel="0" collapsed="false">
      <c r="A17" s="41" t="s">
        <v>524</v>
      </c>
      <c r="B17" s="41" t="s">
        <v>566</v>
      </c>
      <c r="C17" s="42" t="n">
        <f aca="false">'Sprint Plan'!D20</f>
        <v>46510</v>
      </c>
      <c r="D17" s="42" t="n">
        <f aca="false">'Sprint Plan'!E20</f>
        <v>46514</v>
      </c>
      <c r="E17" s="43" t="n">
        <f aca="false">'Sprint Plan'!F20</f>
        <v>5</v>
      </c>
      <c r="F17" s="44" t="n">
        <f aca="false">'Sprint Plan'!V20</f>
        <v>1980</v>
      </c>
      <c r="G17" s="46"/>
      <c r="H17" s="46"/>
      <c r="I17" s="46"/>
      <c r="J17" s="46"/>
      <c r="K17" s="46"/>
      <c r="L17" s="46"/>
      <c r="M17" s="46"/>
      <c r="N17" s="46"/>
      <c r="O17" s="46"/>
      <c r="P17" s="46"/>
      <c r="Q17" s="46"/>
      <c r="R17" s="46"/>
      <c r="S17" s="46"/>
      <c r="T17" s="46"/>
      <c r="U17" s="46"/>
      <c r="V17" s="46"/>
      <c r="W17" s="46"/>
      <c r="X17" s="46"/>
      <c r="Y17" s="46"/>
      <c r="Z17" s="46"/>
      <c r="AA17" s="46"/>
      <c r="AB17" s="46"/>
      <c r="AC17" s="46"/>
      <c r="AD17" s="46"/>
      <c r="AE17" s="45"/>
      <c r="AF17" s="46"/>
      <c r="AG17" s="46"/>
      <c r="AH17" s="46"/>
      <c r="AI17" s="46"/>
      <c r="AJ17" s="46"/>
      <c r="AK17" s="46"/>
      <c r="AL17" s="46"/>
      <c r="AM17" s="46"/>
      <c r="AN17" s="46"/>
      <c r="AO17" s="46"/>
      <c r="AP17" s="46"/>
      <c r="AQ17" s="46"/>
      <c r="AR17" s="46"/>
      <c r="AS17" s="46"/>
      <c r="AT17" s="46"/>
      <c r="AU17" s="46"/>
      <c r="AV17" s="46"/>
      <c r="AW17" s="46"/>
      <c r="AX17" s="46"/>
      <c r="AY17" s="46"/>
      <c r="AZ17" s="46"/>
    </row>
    <row r="18" customFormat="false" ht="15" hidden="false" customHeight="false" outlineLevel="0" collapsed="false">
      <c r="A18" s="41" t="s">
        <v>524</v>
      </c>
      <c r="B18" s="41" t="s">
        <v>603</v>
      </c>
      <c r="C18" s="42" t="n">
        <f aca="false">'Sprint Plan'!D21</f>
        <v>46517</v>
      </c>
      <c r="D18" s="42" t="n">
        <f aca="false">'Sprint Plan'!E21</f>
        <v>46528</v>
      </c>
      <c r="E18" s="43" t="n">
        <f aca="false">'Sprint Plan'!F21</f>
        <v>10</v>
      </c>
      <c r="F18" s="44" t="n">
        <f aca="false">'Sprint Plan'!V21</f>
        <v>6350</v>
      </c>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7"/>
      <c r="AG18" s="47"/>
      <c r="AH18" s="46"/>
      <c r="AI18" s="46"/>
      <c r="AJ18" s="46"/>
      <c r="AK18" s="46"/>
      <c r="AL18" s="46"/>
      <c r="AM18" s="46"/>
      <c r="AN18" s="46"/>
      <c r="AO18" s="46"/>
      <c r="AP18" s="46"/>
      <c r="AQ18" s="46"/>
      <c r="AR18" s="46"/>
      <c r="AS18" s="46"/>
      <c r="AT18" s="46"/>
      <c r="AU18" s="46"/>
      <c r="AV18" s="46"/>
      <c r="AW18" s="46"/>
      <c r="AX18" s="46"/>
      <c r="AY18" s="46"/>
      <c r="AZ18" s="46"/>
    </row>
    <row r="19" customFormat="false" ht="15" hidden="false" customHeight="false" outlineLevel="0" collapsed="false">
      <c r="A19" s="41" t="s">
        <v>524</v>
      </c>
      <c r="B19" s="41" t="s">
        <v>606</v>
      </c>
      <c r="C19" s="42" t="n">
        <f aca="false">'Sprint Plan'!D22</f>
        <v>46531</v>
      </c>
      <c r="D19" s="42" t="n">
        <f aca="false">'Sprint Plan'!E22</f>
        <v>46542</v>
      </c>
      <c r="E19" s="43" t="n">
        <f aca="false">'Sprint Plan'!F22</f>
        <v>10</v>
      </c>
      <c r="F19" s="44" t="n">
        <f aca="false">'Sprint Plan'!V22</f>
        <v>6350</v>
      </c>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7"/>
      <c r="AI19" s="47"/>
      <c r="AJ19" s="46"/>
      <c r="AK19" s="46"/>
      <c r="AL19" s="46"/>
      <c r="AM19" s="46"/>
      <c r="AN19" s="46"/>
      <c r="AO19" s="46"/>
      <c r="AP19" s="46"/>
      <c r="AQ19" s="46"/>
      <c r="AR19" s="46"/>
      <c r="AS19" s="46"/>
      <c r="AT19" s="46"/>
      <c r="AU19" s="46"/>
      <c r="AV19" s="46"/>
      <c r="AW19" s="46"/>
      <c r="AX19" s="46"/>
      <c r="AY19" s="46"/>
      <c r="AZ19" s="46"/>
    </row>
    <row r="20" customFormat="false" ht="15" hidden="false" customHeight="false" outlineLevel="0" collapsed="false">
      <c r="A20" s="41" t="s">
        <v>524</v>
      </c>
      <c r="B20" s="41" t="s">
        <v>609</v>
      </c>
      <c r="C20" s="42" t="n">
        <f aca="false">'Sprint Plan'!D23</f>
        <v>46545</v>
      </c>
      <c r="D20" s="42" t="n">
        <f aca="false">'Sprint Plan'!E23</f>
        <v>46556</v>
      </c>
      <c r="E20" s="43" t="n">
        <f aca="false">'Sprint Plan'!F23</f>
        <v>10</v>
      </c>
      <c r="F20" s="44" t="n">
        <f aca="false">'Sprint Plan'!V23</f>
        <v>6350</v>
      </c>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7"/>
      <c r="AK20" s="47"/>
      <c r="AL20" s="46"/>
      <c r="AM20" s="46"/>
      <c r="AN20" s="46"/>
      <c r="AO20" s="46"/>
      <c r="AP20" s="46"/>
      <c r="AQ20" s="46"/>
      <c r="AR20" s="46"/>
      <c r="AS20" s="46"/>
      <c r="AT20" s="46"/>
      <c r="AU20" s="46"/>
      <c r="AV20" s="46"/>
      <c r="AW20" s="46"/>
      <c r="AX20" s="46"/>
      <c r="AY20" s="46"/>
      <c r="AZ20" s="46"/>
    </row>
    <row r="21" customFormat="false" ht="15" hidden="false" customHeight="false" outlineLevel="0" collapsed="false">
      <c r="A21" s="41" t="s">
        <v>524</v>
      </c>
      <c r="B21" s="41" t="s">
        <v>612</v>
      </c>
      <c r="C21" s="42" t="n">
        <f aca="false">'Sprint Plan'!D24</f>
        <v>46559</v>
      </c>
      <c r="D21" s="42" t="n">
        <f aca="false">'Sprint Plan'!E24</f>
        <v>46570</v>
      </c>
      <c r="E21" s="43" t="n">
        <f aca="false">'Sprint Plan'!F24</f>
        <v>10</v>
      </c>
      <c r="F21" s="44" t="n">
        <f aca="false">'Sprint Plan'!V24</f>
        <v>6350</v>
      </c>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7"/>
      <c r="AM21" s="47"/>
      <c r="AN21" s="46"/>
      <c r="AO21" s="46"/>
      <c r="AP21" s="46"/>
      <c r="AQ21" s="46"/>
      <c r="AR21" s="46"/>
      <c r="AS21" s="46"/>
      <c r="AT21" s="46"/>
      <c r="AU21" s="46"/>
      <c r="AV21" s="46"/>
      <c r="AW21" s="46"/>
      <c r="AX21" s="46"/>
      <c r="AY21" s="46"/>
      <c r="AZ21" s="46"/>
    </row>
    <row r="22" customFormat="false" ht="15" hidden="false" customHeight="false" outlineLevel="0" collapsed="false">
      <c r="A22" s="41" t="s">
        <v>524</v>
      </c>
      <c r="B22" s="41" t="s">
        <v>499</v>
      </c>
      <c r="C22" s="42" t="n">
        <f aca="false">'Sprint Plan'!D25</f>
        <v>46573</v>
      </c>
      <c r="D22" s="42" t="n">
        <f aca="false">'Sprint Plan'!E25</f>
        <v>46577</v>
      </c>
      <c r="E22" s="43" t="n">
        <f aca="false">'Sprint Plan'!F25</f>
        <v>5</v>
      </c>
      <c r="F22" s="44" t="n">
        <f aca="false">'Sprint Plan'!V25</f>
        <v>2755</v>
      </c>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8"/>
      <c r="AO22" s="46"/>
      <c r="AP22" s="46"/>
      <c r="AQ22" s="46"/>
      <c r="AR22" s="46"/>
      <c r="AS22" s="46"/>
      <c r="AT22" s="46"/>
      <c r="AU22" s="46"/>
      <c r="AV22" s="46"/>
      <c r="AW22" s="46"/>
      <c r="AX22" s="46"/>
      <c r="AY22" s="46"/>
      <c r="AZ22" s="46"/>
    </row>
    <row r="23" customFormat="false" ht="15" hidden="false" customHeight="false" outlineLevel="0" collapsed="false">
      <c r="A23" s="41" t="s">
        <v>524</v>
      </c>
      <c r="B23" s="41" t="s">
        <v>509</v>
      </c>
      <c r="C23" s="42" t="n">
        <f aca="false">'Sprint Plan'!D26</f>
        <v>46580</v>
      </c>
      <c r="D23" s="42" t="n">
        <f aca="false">'Sprint Plan'!E26</f>
        <v>46591</v>
      </c>
      <c r="E23" s="43" t="n">
        <f aca="false">'Sprint Plan'!F26</f>
        <v>10</v>
      </c>
      <c r="F23" s="44" t="n">
        <f aca="false">'Sprint Plan'!V26</f>
        <v>4065</v>
      </c>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9"/>
      <c r="AP23" s="49"/>
      <c r="AQ23" s="46"/>
      <c r="AR23" s="46"/>
      <c r="AS23" s="46"/>
      <c r="AT23" s="46"/>
      <c r="AU23" s="46"/>
      <c r="AV23" s="46"/>
      <c r="AW23" s="46"/>
      <c r="AX23" s="46"/>
      <c r="AY23" s="46"/>
      <c r="AZ23" s="46"/>
    </row>
    <row r="24" customFormat="false" ht="15" hidden="false" customHeight="false" outlineLevel="0" collapsed="false">
      <c r="A24" s="41" t="s">
        <v>524</v>
      </c>
      <c r="B24" s="41" t="s">
        <v>517</v>
      </c>
      <c r="C24" s="42" t="n">
        <f aca="false">'Sprint Plan'!D27</f>
        <v>46594</v>
      </c>
      <c r="D24" s="42" t="n">
        <f aca="false">'Sprint Plan'!E27</f>
        <v>46598</v>
      </c>
      <c r="E24" s="43" t="n">
        <f aca="false">'Sprint Plan'!F27</f>
        <v>5</v>
      </c>
      <c r="F24" s="44" t="n">
        <f aca="false">'Sprint Plan'!V27</f>
        <v>1230</v>
      </c>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50" t="s">
        <v>646</v>
      </c>
      <c r="AR24" s="46"/>
      <c r="AS24" s="46"/>
      <c r="AT24" s="46"/>
      <c r="AU24" s="46"/>
      <c r="AV24" s="46"/>
      <c r="AW24" s="46"/>
      <c r="AX24" s="46"/>
      <c r="AY24" s="46"/>
      <c r="AZ24" s="46"/>
    </row>
    <row r="26" customFormat="false" ht="15" hidden="false" customHeight="false" outlineLevel="0" collapsed="false">
      <c r="A26" s="41" t="s">
        <v>548</v>
      </c>
      <c r="B26" s="41" t="s">
        <v>566</v>
      </c>
      <c r="C26" s="42" t="n">
        <f aca="false">'Sprint Plan'!D32</f>
        <v>46601</v>
      </c>
      <c r="D26" s="42" t="n">
        <f aca="false">'Sprint Plan'!E32</f>
        <v>46605</v>
      </c>
      <c r="E26" s="43" t="n">
        <f aca="false">'Sprint Plan'!F32</f>
        <v>5</v>
      </c>
      <c r="F26" s="44" t="n">
        <f aca="false">'Sprint Plan'!V32</f>
        <v>715</v>
      </c>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5"/>
      <c r="AS26" s="46"/>
      <c r="AT26" s="46"/>
      <c r="AU26" s="46"/>
      <c r="AV26" s="46"/>
      <c r="AW26" s="46"/>
      <c r="AX26" s="46"/>
      <c r="AY26" s="46"/>
      <c r="AZ26" s="46"/>
    </row>
    <row r="27" customFormat="false" ht="15" hidden="false" customHeight="false" outlineLevel="0" collapsed="false">
      <c r="A27" s="41" t="s">
        <v>548</v>
      </c>
      <c r="B27" s="41" t="s">
        <v>620</v>
      </c>
      <c r="C27" s="42" t="n">
        <f aca="false">'Sprint Plan'!D33</f>
        <v>46608</v>
      </c>
      <c r="D27" s="42" t="n">
        <f aca="false">'Sprint Plan'!E33</f>
        <v>46619</v>
      </c>
      <c r="E27" s="43" t="n">
        <f aca="false">'Sprint Plan'!F33</f>
        <v>10</v>
      </c>
      <c r="F27" s="44" t="n">
        <f aca="false">'Sprint Plan'!V33</f>
        <v>2465</v>
      </c>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7"/>
      <c r="AT27" s="47"/>
      <c r="AU27" s="46"/>
      <c r="AV27" s="46"/>
      <c r="AW27" s="46"/>
      <c r="AX27" s="46"/>
      <c r="AY27" s="46"/>
      <c r="AZ27" s="46"/>
    </row>
    <row r="28" customFormat="false" ht="15" hidden="false" customHeight="false" outlineLevel="0" collapsed="false">
      <c r="A28" s="41" t="s">
        <v>548</v>
      </c>
      <c r="B28" s="41" t="s">
        <v>623</v>
      </c>
      <c r="C28" s="42" t="n">
        <f aca="false">'Sprint Plan'!D34</f>
        <v>46622</v>
      </c>
      <c r="D28" s="42" t="n">
        <f aca="false">'Sprint Plan'!E34</f>
        <v>46633</v>
      </c>
      <c r="E28" s="43" t="n">
        <f aca="false">'Sprint Plan'!F34</f>
        <v>10</v>
      </c>
      <c r="F28" s="44" t="n">
        <f aca="false">'Sprint Plan'!V34</f>
        <v>2465</v>
      </c>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7"/>
      <c r="AV28" s="47"/>
      <c r="AW28" s="46"/>
      <c r="AX28" s="46"/>
      <c r="AY28" s="46"/>
      <c r="AZ28" s="46"/>
    </row>
    <row r="29" customFormat="false" ht="15" hidden="false" customHeight="false" outlineLevel="0" collapsed="false">
      <c r="A29" s="41" t="s">
        <v>548</v>
      </c>
      <c r="B29" s="41" t="s">
        <v>499</v>
      </c>
      <c r="C29" s="42" t="n">
        <f aca="false">'Sprint Plan'!D35</f>
        <v>46636</v>
      </c>
      <c r="D29" s="42" t="n">
        <f aca="false">'Sprint Plan'!E35</f>
        <v>46640</v>
      </c>
      <c r="E29" s="43" t="n">
        <f aca="false">'Sprint Plan'!F35</f>
        <v>5</v>
      </c>
      <c r="F29" s="44" t="n">
        <f aca="false">'Sprint Plan'!V35</f>
        <v>840</v>
      </c>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8"/>
      <c r="AX29" s="46"/>
      <c r="AY29" s="46"/>
      <c r="AZ29" s="46"/>
    </row>
    <row r="30" customFormat="false" ht="15" hidden="false" customHeight="false" outlineLevel="0" collapsed="false">
      <c r="A30" s="41" t="s">
        <v>548</v>
      </c>
      <c r="B30" s="41" t="s">
        <v>509</v>
      </c>
      <c r="C30" s="42" t="n">
        <f aca="false">'Sprint Plan'!D36</f>
        <v>46643</v>
      </c>
      <c r="D30" s="42" t="n">
        <f aca="false">'Sprint Plan'!E36</f>
        <v>46647</v>
      </c>
      <c r="E30" s="43" t="n">
        <f aca="false">'Sprint Plan'!F36</f>
        <v>5</v>
      </c>
      <c r="F30" s="44" t="n">
        <f aca="false">'Sprint Plan'!V36</f>
        <v>957.5</v>
      </c>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9"/>
      <c r="AY30" s="46"/>
      <c r="AZ30" s="46"/>
    </row>
    <row r="31" customFormat="false" ht="15" hidden="false" customHeight="false" outlineLevel="0" collapsed="false">
      <c r="A31" s="41" t="s">
        <v>548</v>
      </c>
      <c r="B31" s="41" t="s">
        <v>517</v>
      </c>
      <c r="C31" s="42" t="n">
        <f aca="false">'Sprint Plan'!D37</f>
        <v>46650</v>
      </c>
      <c r="D31" s="42" t="n">
        <f aca="false">'Sprint Plan'!E37</f>
        <v>46654</v>
      </c>
      <c r="E31" s="43" t="n">
        <f aca="false">'Sprint Plan'!F37</f>
        <v>5</v>
      </c>
      <c r="F31" s="44" t="n">
        <f aca="false">'Sprint Plan'!V37</f>
        <v>292.5</v>
      </c>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50" t="s">
        <v>646</v>
      </c>
      <c r="AZ31" s="46"/>
    </row>
    <row r="34" customFormat="false" ht="15" hidden="false" customHeight="false" outlineLevel="0" collapsed="false">
      <c r="A34" s="3" t="s">
        <v>30</v>
      </c>
    </row>
    <row r="35" customFormat="false" ht="15" hidden="false" customHeight="false" outlineLevel="0" collapsed="false">
      <c r="A35" s="52"/>
      <c r="B35" s="5" t="s">
        <v>567</v>
      </c>
    </row>
    <row r="36" customFormat="false" ht="15" hidden="false" customHeight="false" outlineLevel="0" collapsed="false">
      <c r="A36" s="53"/>
      <c r="B36" s="5" t="s">
        <v>571</v>
      </c>
    </row>
    <row r="37" customFormat="false" ht="15" hidden="false" customHeight="false" outlineLevel="0" collapsed="false">
      <c r="A37" s="54"/>
      <c r="B37" s="5" t="s">
        <v>592</v>
      </c>
    </row>
    <row r="38" customFormat="false" ht="15" hidden="false" customHeight="false" outlineLevel="0" collapsed="false">
      <c r="A38" s="55"/>
      <c r="B38" s="5" t="s">
        <v>595</v>
      </c>
    </row>
    <row r="39" customFormat="false" ht="15" hidden="false" customHeight="false" outlineLevel="0" collapsed="false">
      <c r="A39" s="56"/>
      <c r="B39" s="5" t="s">
        <v>597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13"/>
    <col collapsed="false" customWidth="true" hidden="false" outlineLevel="0" max="6" min="5" style="0" width="12"/>
    <col collapsed="false" customWidth="true" hidden="false" outlineLevel="0" max="7" min="7" style="0" width="14"/>
    <col collapsed="false" customWidth="true" hidden="false" outlineLevel="0" max="8" min="8" style="0" width="50"/>
  </cols>
  <sheetData>
    <row r="1" customFormat="false" ht="17.35" hidden="false" customHeight="false" outlineLevel="0" collapsed="false">
      <c r="A1" s="1" t="s">
        <v>647</v>
      </c>
    </row>
    <row r="2" customFormat="false" ht="15" hidden="false" customHeight="false" outlineLevel="0" collapsed="false">
      <c r="A2" s="2" t="s">
        <v>648</v>
      </c>
    </row>
    <row r="4" customFormat="false" ht="26.85" hidden="false" customHeight="false" outlineLevel="0" collapsed="false">
      <c r="A4" s="7" t="s">
        <v>441</v>
      </c>
      <c r="B4" s="7" t="s">
        <v>473</v>
      </c>
      <c r="C4" s="7" t="s">
        <v>474</v>
      </c>
      <c r="D4" s="7" t="s">
        <v>475</v>
      </c>
      <c r="E4" s="7" t="s">
        <v>476</v>
      </c>
      <c r="F4" s="7" t="s">
        <v>479</v>
      </c>
      <c r="G4" s="7" t="s">
        <v>649</v>
      </c>
      <c r="H4" s="7" t="s">
        <v>650</v>
      </c>
    </row>
    <row r="5" customFormat="false" ht="15" hidden="false" customHeight="false" outlineLevel="0" collapsed="false">
      <c r="A5" s="41" t="s">
        <v>482</v>
      </c>
      <c r="B5" s="41" t="s">
        <v>483</v>
      </c>
      <c r="C5" s="57" t="n">
        <v>46342</v>
      </c>
      <c r="D5" s="57" t="n">
        <v>46346</v>
      </c>
      <c r="E5" s="41" t="n">
        <f aca="false">NETWORKDAYS(C5,D5,Assumptions!$A$16:$A$19)</f>
        <v>5</v>
      </c>
      <c r="F5" s="58" t="n">
        <f aca="false">SUMIFS('Staffing Plan'!$I$5:$I$80,'Staffing Plan'!$A$5:$A$80,A5,'Staffing Plan'!$B$5:$B$80,B5)</f>
        <v>12</v>
      </c>
      <c r="G5" s="44" t="n">
        <f aca="false">SUMIFS('Staffing Plan'!$K$5:$K$80,'Staffing Plan'!$A$5:$A$80,A5,'Staffing Plan'!$B$5:$B$80,B5)</f>
        <v>2610</v>
      </c>
      <c r="H5" s="41" t="s">
        <v>651</v>
      </c>
    </row>
    <row r="6" customFormat="false" ht="15" hidden="false" customHeight="false" outlineLevel="0" collapsed="false">
      <c r="A6" s="41" t="s">
        <v>482</v>
      </c>
      <c r="B6" s="41" t="s">
        <v>489</v>
      </c>
      <c r="C6" s="57" t="n">
        <v>46349</v>
      </c>
      <c r="D6" s="57" t="n">
        <v>46444</v>
      </c>
      <c r="E6" s="41" t="n">
        <f aca="false">NETWORKDAYS(C6,D6,Assumptions!$A$16:$A$19)</f>
        <v>66</v>
      </c>
      <c r="F6" s="58" t="n">
        <f aca="false">SUMIFS('Staffing Plan'!$I$5:$I$80,'Staffing Plan'!$A$5:$A$80,A6,'Staffing Plan'!$B$5:$B$80,B6)</f>
        <v>419.1</v>
      </c>
      <c r="G6" s="44" t="n">
        <f aca="false">SUMIFS('Staffing Plan'!$K$5:$K$80,'Staffing Plan'!$A$5:$A$80,A6,'Staffing Plan'!$B$5:$B$80,B6)</f>
        <v>68574</v>
      </c>
      <c r="H6" s="41" t="s">
        <v>652</v>
      </c>
    </row>
    <row r="7" customFormat="false" ht="15" hidden="false" customHeight="false" outlineLevel="0" collapsed="false">
      <c r="A7" s="41" t="s">
        <v>482</v>
      </c>
      <c r="B7" s="41" t="s">
        <v>499</v>
      </c>
      <c r="C7" s="57" t="n">
        <v>46447</v>
      </c>
      <c r="D7" s="57" t="n">
        <v>46458</v>
      </c>
      <c r="E7" s="41" t="n">
        <f aca="false">NETWORKDAYS(C7,D7,Assumptions!$A$16:$A$19)</f>
        <v>10</v>
      </c>
      <c r="F7" s="58" t="n">
        <f aca="false">SUMIFS('Staffing Plan'!$I$5:$I$80,'Staffing Plan'!$A$5:$A$80,A7,'Staffing Plan'!$B$5:$B$80,B7)</f>
        <v>50</v>
      </c>
      <c r="G7" s="44" t="n">
        <f aca="false">SUMIFS('Staffing Plan'!$K$5:$K$80,'Staffing Plan'!$A$5:$A$80,A7,'Staffing Plan'!$B$5:$B$80,B7)</f>
        <v>8315</v>
      </c>
      <c r="H7" s="41" t="s">
        <v>653</v>
      </c>
    </row>
    <row r="8" customFormat="false" ht="15" hidden="false" customHeight="false" outlineLevel="0" collapsed="false">
      <c r="A8" s="41" t="s">
        <v>482</v>
      </c>
      <c r="B8" s="41" t="s">
        <v>509</v>
      </c>
      <c r="C8" s="57" t="n">
        <v>46461</v>
      </c>
      <c r="D8" s="57" t="n">
        <v>46479</v>
      </c>
      <c r="E8" s="41" t="n">
        <f aca="false">NETWORKDAYS(C8,D8,Assumptions!$A$16:$A$19)</f>
        <v>15</v>
      </c>
      <c r="F8" s="58" t="n">
        <f aca="false">SUMIFS('Staffing Plan'!$I$5:$I$80,'Staffing Plan'!$A$5:$A$80,A8,'Staffing Plan'!$B$5:$B$80,B8)</f>
        <v>40.5</v>
      </c>
      <c r="G8" s="44" t="n">
        <f aca="false">SUMIFS('Staffing Plan'!$K$5:$K$80,'Staffing Plan'!$A$5:$A$80,A8,'Staffing Plan'!$B$5:$B$80,B8)</f>
        <v>7597.5</v>
      </c>
      <c r="H8" s="41" t="s">
        <v>654</v>
      </c>
    </row>
    <row r="9" customFormat="false" ht="15" hidden="false" customHeight="false" outlineLevel="0" collapsed="false">
      <c r="A9" s="41" t="s">
        <v>482</v>
      </c>
      <c r="B9" s="41" t="s">
        <v>517</v>
      </c>
      <c r="C9" s="57" t="n">
        <v>46482</v>
      </c>
      <c r="D9" s="57" t="n">
        <v>46493</v>
      </c>
      <c r="E9" s="41" t="n">
        <f aca="false">NETWORKDAYS(C9,D9,Assumptions!$A$16:$A$19)</f>
        <v>10</v>
      </c>
      <c r="F9" s="58" t="n">
        <f aca="false">SUMIFS('Staffing Plan'!$I$5:$I$80,'Staffing Plan'!$A$5:$A$80,A9,'Staffing Plan'!$B$5:$B$80,B9)</f>
        <v>17</v>
      </c>
      <c r="G9" s="44" t="n">
        <f aca="false">SUMIFS('Staffing Plan'!$K$5:$K$80,'Staffing Plan'!$A$5:$A$80,A9,'Staffing Plan'!$B$5:$B$80,B9)</f>
        <v>3265</v>
      </c>
      <c r="H9" s="41" t="s">
        <v>655</v>
      </c>
    </row>
    <row r="10" customFormat="false" ht="15" hidden="false" customHeight="false" outlineLevel="0" collapsed="false">
      <c r="B10" s="3" t="s">
        <v>599</v>
      </c>
      <c r="E10" s="59" t="n">
        <f aca="false">SUM(E5:E9)</f>
        <v>106</v>
      </c>
      <c r="F10" s="16" t="n">
        <f aca="false">SUM(F5:F9)</f>
        <v>538.6</v>
      </c>
      <c r="G10" s="25" t="n">
        <f aca="false">SUM(G5:G9)</f>
        <v>90361.5</v>
      </c>
      <c r="H10" s="2" t="s">
        <v>656</v>
      </c>
    </row>
    <row r="12" customFormat="false" ht="15" hidden="false" customHeight="false" outlineLevel="0" collapsed="false">
      <c r="A12" s="41" t="s">
        <v>524</v>
      </c>
      <c r="B12" s="41" t="s">
        <v>483</v>
      </c>
      <c r="C12" s="57" t="n">
        <v>46510</v>
      </c>
      <c r="D12" s="57" t="n">
        <v>46514</v>
      </c>
      <c r="E12" s="41" t="n">
        <f aca="false">NETWORKDAYS(C12,D12,Assumptions!$A$16:$A$19)</f>
        <v>5</v>
      </c>
      <c r="F12" s="58" t="n">
        <f aca="false">SUMIFS('Staffing Plan'!$I$5:$I$80,'Staffing Plan'!$A$5:$A$80,A12,'Staffing Plan'!$B$5:$B$80,B12)</f>
        <v>8.5</v>
      </c>
      <c r="G12" s="44" t="n">
        <f aca="false">SUMIFS('Staffing Plan'!$K$5:$K$80,'Staffing Plan'!$A$5:$A$80,A12,'Staffing Plan'!$B$5:$B$80,B12)</f>
        <v>1980</v>
      </c>
      <c r="H12" s="41" t="s">
        <v>657</v>
      </c>
    </row>
    <row r="13" customFormat="false" ht="15" hidden="false" customHeight="false" outlineLevel="0" collapsed="false">
      <c r="A13" s="41" t="s">
        <v>524</v>
      </c>
      <c r="B13" s="41" t="s">
        <v>489</v>
      </c>
      <c r="C13" s="57" t="n">
        <v>46517</v>
      </c>
      <c r="D13" s="57" t="n">
        <v>46570</v>
      </c>
      <c r="E13" s="41" t="n">
        <f aca="false">NETWORKDAYS(C13,D13,Assumptions!$A$16:$A$19)</f>
        <v>40</v>
      </c>
      <c r="F13" s="58" t="n">
        <f aca="false">SUMIFS('Staffing Plan'!$I$5:$I$80,'Staffing Plan'!$A$5:$A$80,A13,'Staffing Plan'!$B$5:$B$80,B13)</f>
        <v>158</v>
      </c>
      <c r="G13" s="44" t="n">
        <f aca="false">SUMIFS('Staffing Plan'!$K$5:$K$80,'Staffing Plan'!$A$5:$A$80,A13,'Staffing Plan'!$B$5:$B$80,B13)</f>
        <v>25400</v>
      </c>
      <c r="H13" s="41" t="s">
        <v>658</v>
      </c>
    </row>
    <row r="14" customFormat="false" ht="15" hidden="false" customHeight="false" outlineLevel="0" collapsed="false">
      <c r="A14" s="41" t="s">
        <v>524</v>
      </c>
      <c r="B14" s="41" t="s">
        <v>499</v>
      </c>
      <c r="C14" s="57" t="n">
        <v>46573</v>
      </c>
      <c r="D14" s="57" t="n">
        <v>46577</v>
      </c>
      <c r="E14" s="41" t="n">
        <f aca="false">NETWORKDAYS(C14,D14,Assumptions!$A$16:$A$19)</f>
        <v>5</v>
      </c>
      <c r="F14" s="58" t="n">
        <f aca="false">SUMIFS('Staffing Plan'!$I$5:$I$80,'Staffing Plan'!$A$5:$A$80,A14,'Staffing Plan'!$B$5:$B$80,B14)</f>
        <v>17.5</v>
      </c>
      <c r="G14" s="44" t="n">
        <f aca="false">SUMIFS('Staffing Plan'!$K$5:$K$80,'Staffing Plan'!$A$5:$A$80,A14,'Staffing Plan'!$B$5:$B$80,B14)</f>
        <v>2755</v>
      </c>
      <c r="H14" s="41" t="s">
        <v>659</v>
      </c>
    </row>
    <row r="15" customFormat="false" ht="15" hidden="false" customHeight="false" outlineLevel="0" collapsed="false">
      <c r="A15" s="41" t="s">
        <v>524</v>
      </c>
      <c r="B15" s="41" t="s">
        <v>509</v>
      </c>
      <c r="C15" s="57" t="n">
        <v>46580</v>
      </c>
      <c r="D15" s="57" t="n">
        <v>46591</v>
      </c>
      <c r="E15" s="41" t="n">
        <f aca="false">NETWORKDAYS(C15,D15,Assumptions!$A$16:$A$19)</f>
        <v>10</v>
      </c>
      <c r="F15" s="58" t="n">
        <f aca="false">SUMIFS('Staffing Plan'!$I$5:$I$80,'Staffing Plan'!$A$5:$A$80,A15,'Staffing Plan'!$B$5:$B$80,B15)</f>
        <v>22</v>
      </c>
      <c r="G15" s="44" t="n">
        <f aca="false">SUMIFS('Staffing Plan'!$K$5:$K$80,'Staffing Plan'!$A$5:$A$80,A15,'Staffing Plan'!$B$5:$B$80,B15)</f>
        <v>4065</v>
      </c>
      <c r="H15" s="41" t="s">
        <v>660</v>
      </c>
    </row>
    <row r="16" customFormat="false" ht="15" hidden="false" customHeight="false" outlineLevel="0" collapsed="false">
      <c r="A16" s="41" t="s">
        <v>524</v>
      </c>
      <c r="B16" s="41" t="s">
        <v>517</v>
      </c>
      <c r="C16" s="57" t="n">
        <v>46594</v>
      </c>
      <c r="D16" s="57" t="n">
        <v>46598</v>
      </c>
      <c r="E16" s="41" t="n">
        <f aca="false">NETWORKDAYS(C16,D16,Assumptions!$A$16:$A$19)</f>
        <v>5</v>
      </c>
      <c r="F16" s="58" t="n">
        <f aca="false">SUMIFS('Staffing Plan'!$I$5:$I$80,'Staffing Plan'!$A$5:$A$80,A16,'Staffing Plan'!$B$5:$B$80,B16)</f>
        <v>6</v>
      </c>
      <c r="G16" s="44" t="n">
        <f aca="false">SUMIFS('Staffing Plan'!$K$5:$K$80,'Staffing Plan'!$A$5:$A$80,A16,'Staffing Plan'!$B$5:$B$80,B16)</f>
        <v>1230</v>
      </c>
      <c r="H16" s="41" t="s">
        <v>661</v>
      </c>
    </row>
    <row r="17" customFormat="false" ht="15" hidden="false" customHeight="false" outlineLevel="0" collapsed="false">
      <c r="B17" s="3" t="s">
        <v>618</v>
      </c>
      <c r="E17" s="59" t="n">
        <f aca="false">SUM(E12:E16)</f>
        <v>65</v>
      </c>
      <c r="F17" s="16" t="n">
        <f aca="false">SUM(F12:F16)</f>
        <v>212</v>
      </c>
      <c r="G17" s="25" t="n">
        <f aca="false">SUM(G12:G16)</f>
        <v>35430</v>
      </c>
      <c r="H17" s="2" t="s">
        <v>656</v>
      </c>
    </row>
    <row r="19" customFormat="false" ht="15" hidden="false" customHeight="false" outlineLevel="0" collapsed="false">
      <c r="A19" s="41" t="s">
        <v>548</v>
      </c>
      <c r="B19" s="41" t="s">
        <v>483</v>
      </c>
      <c r="C19" s="57" t="n">
        <v>46601</v>
      </c>
      <c r="D19" s="57" t="n">
        <v>46605</v>
      </c>
      <c r="E19" s="41" t="n">
        <f aca="false">NETWORKDAYS(C19,D19,Assumptions!$A$16:$A$19)</f>
        <v>5</v>
      </c>
      <c r="F19" s="58" t="n">
        <f aca="false">SUMIFS('Staffing Plan'!$I$5:$I$80,'Staffing Plan'!$A$5:$A$80,A19,'Staffing Plan'!$B$5:$B$80,B19)</f>
        <v>3</v>
      </c>
      <c r="G19" s="44" t="n">
        <f aca="false">SUMIFS('Staffing Plan'!$K$5:$K$80,'Staffing Plan'!$A$5:$A$80,A19,'Staffing Plan'!$B$5:$B$80,B19)</f>
        <v>715</v>
      </c>
      <c r="H19" s="41" t="s">
        <v>662</v>
      </c>
    </row>
    <row r="20" customFormat="false" ht="15" hidden="false" customHeight="false" outlineLevel="0" collapsed="false">
      <c r="A20" s="41" t="s">
        <v>548</v>
      </c>
      <c r="B20" s="41" t="s">
        <v>489</v>
      </c>
      <c r="C20" s="57" t="n">
        <v>46608</v>
      </c>
      <c r="D20" s="57" t="n">
        <v>46633</v>
      </c>
      <c r="E20" s="41" t="n">
        <f aca="false">NETWORKDAYS(C20,D20,Assumptions!$A$16:$A$19)</f>
        <v>20</v>
      </c>
      <c r="F20" s="58" t="n">
        <f aca="false">SUMIFS('Staffing Plan'!$I$5:$I$80,'Staffing Plan'!$A$5:$A$80,A20,'Staffing Plan'!$B$5:$B$80,B20)</f>
        <v>32</v>
      </c>
      <c r="G20" s="44" t="n">
        <f aca="false">SUMIFS('Staffing Plan'!$K$5:$K$80,'Staffing Plan'!$A$5:$A$80,A20,'Staffing Plan'!$B$5:$B$80,B20)</f>
        <v>4930</v>
      </c>
      <c r="H20" s="41" t="s">
        <v>663</v>
      </c>
    </row>
    <row r="21" customFormat="false" ht="15" hidden="false" customHeight="false" outlineLevel="0" collapsed="false">
      <c r="A21" s="41" t="s">
        <v>548</v>
      </c>
      <c r="B21" s="41" t="s">
        <v>499</v>
      </c>
      <c r="C21" s="57" t="n">
        <v>46636</v>
      </c>
      <c r="D21" s="57" t="n">
        <v>46640</v>
      </c>
      <c r="E21" s="41" t="n">
        <f aca="false">NETWORKDAYS(C21,D21,Assumptions!$A$16:$A$19)</f>
        <v>5</v>
      </c>
      <c r="F21" s="58" t="n">
        <f aca="false">SUMIFS('Staffing Plan'!$I$5:$I$80,'Staffing Plan'!$A$5:$A$80,A21,'Staffing Plan'!$B$5:$B$80,B21)</f>
        <v>6.5</v>
      </c>
      <c r="G21" s="44" t="n">
        <f aca="false">SUMIFS('Staffing Plan'!$K$5:$K$80,'Staffing Plan'!$A$5:$A$80,A21,'Staffing Plan'!$B$5:$B$80,B21)</f>
        <v>840</v>
      </c>
      <c r="H21" s="41" t="s">
        <v>664</v>
      </c>
    </row>
    <row r="22" customFormat="false" ht="15" hidden="false" customHeight="false" outlineLevel="0" collapsed="false">
      <c r="A22" s="41" t="s">
        <v>548</v>
      </c>
      <c r="B22" s="41" t="s">
        <v>509</v>
      </c>
      <c r="C22" s="57" t="n">
        <v>46643</v>
      </c>
      <c r="D22" s="57" t="n">
        <v>46647</v>
      </c>
      <c r="E22" s="41" t="n">
        <f aca="false">NETWORKDAYS(C22,D22,Assumptions!$A$16:$A$19)</f>
        <v>5</v>
      </c>
      <c r="F22" s="58" t="n">
        <f aca="false">SUMIFS('Staffing Plan'!$I$5:$I$80,'Staffing Plan'!$A$5:$A$80,A22,'Staffing Plan'!$B$5:$B$80,B22)</f>
        <v>5.5</v>
      </c>
      <c r="G22" s="44" t="n">
        <f aca="false">SUMIFS('Staffing Plan'!$K$5:$K$80,'Staffing Plan'!$A$5:$A$80,A22,'Staffing Plan'!$B$5:$B$80,B22)</f>
        <v>957.5</v>
      </c>
      <c r="H22" s="41" t="s">
        <v>665</v>
      </c>
    </row>
    <row r="23" customFormat="false" ht="15" hidden="false" customHeight="false" outlineLevel="0" collapsed="false">
      <c r="A23" s="41" t="s">
        <v>548</v>
      </c>
      <c r="B23" s="41" t="s">
        <v>517</v>
      </c>
      <c r="C23" s="57" t="n">
        <v>46650</v>
      </c>
      <c r="D23" s="57" t="n">
        <v>46654</v>
      </c>
      <c r="E23" s="41" t="n">
        <f aca="false">NETWORKDAYS(C23,D23,Assumptions!$A$16:$A$19)</f>
        <v>5</v>
      </c>
      <c r="F23" s="58" t="n">
        <f aca="false">SUMIFS('Staffing Plan'!$I$5:$I$80,'Staffing Plan'!$A$5:$A$80,A23,'Staffing Plan'!$B$5:$B$80,B23)</f>
        <v>2</v>
      </c>
      <c r="G23" s="44" t="n">
        <f aca="false">SUMIFS('Staffing Plan'!$K$5:$K$80,'Staffing Plan'!$A$5:$A$80,A23,'Staffing Plan'!$B$5:$B$80,B23)</f>
        <v>292.5</v>
      </c>
      <c r="H23" s="41" t="s">
        <v>666</v>
      </c>
    </row>
    <row r="24" customFormat="false" ht="15" hidden="false" customHeight="false" outlineLevel="0" collapsed="false">
      <c r="B24" s="3" t="s">
        <v>629</v>
      </c>
      <c r="E24" s="59" t="n">
        <f aca="false">SUM(E19:E23)</f>
        <v>40</v>
      </c>
      <c r="F24" s="16" t="n">
        <f aca="false">SUM(F19:F23)</f>
        <v>49</v>
      </c>
      <c r="G24" s="25" t="n">
        <f aca="false">SUM(G19:G23)</f>
        <v>7735</v>
      </c>
      <c r="H24" s="2" t="s">
        <v>656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5" min="2" style="0" width="16"/>
  </cols>
  <sheetData>
    <row r="1" customFormat="false" ht="17.35" hidden="false" customHeight="false" outlineLevel="0" collapsed="false">
      <c r="A1" s="1" t="s">
        <v>667</v>
      </c>
    </row>
    <row r="2" customFormat="false" ht="15" hidden="false" customHeight="false" outlineLevel="0" collapsed="false">
      <c r="A2" s="2" t="s">
        <v>668</v>
      </c>
    </row>
    <row r="4" customFormat="false" ht="15" hidden="false" customHeight="false" outlineLevel="0" collapsed="false">
      <c r="A4" s="7" t="s">
        <v>669</v>
      </c>
      <c r="B4" s="7" t="s">
        <v>670</v>
      </c>
      <c r="C4" s="7" t="s">
        <v>671</v>
      </c>
      <c r="D4" s="7" t="s">
        <v>672</v>
      </c>
      <c r="E4" s="7" t="s">
        <v>436</v>
      </c>
    </row>
    <row r="5" customFormat="false" ht="15" hidden="false" customHeight="false" outlineLevel="0" collapsed="false">
      <c r="A5" s="5" t="s">
        <v>673</v>
      </c>
      <c r="B5" s="58" t="n">
        <f aca="false">SUMIFS('Staffing Plan'!$I$5:$I$80,'Staffing Plan'!$A$5:$A$80,"Lot 1")</f>
        <v>538.6</v>
      </c>
      <c r="C5" s="58" t="n">
        <f aca="false">SUMIFS('Staffing Plan'!$I$5:$I$80,'Staffing Plan'!$A$5:$A$80,"Lot 2")</f>
        <v>212</v>
      </c>
      <c r="D5" s="58" t="n">
        <f aca="false">SUMIFS('Staffing Plan'!$I$5:$I$80,'Staffing Plan'!$A$5:$A$80,"Lot 3")</f>
        <v>49</v>
      </c>
      <c r="E5" s="58" t="n">
        <f aca="false">SUM(B5:D5)</f>
        <v>799.6</v>
      </c>
    </row>
    <row r="6" customFormat="false" ht="15" hidden="false" customHeight="false" outlineLevel="0" collapsed="false">
      <c r="A6" s="5" t="s">
        <v>674</v>
      </c>
      <c r="B6" s="44" t="n">
        <f aca="false">SUMIFS('Staffing Plan'!$K$5:$K$80,'Staffing Plan'!$A$5:$A$80,"Lot 1")</f>
        <v>90361.5</v>
      </c>
      <c r="C6" s="44" t="n">
        <f aca="false">SUMIFS('Staffing Plan'!$K$5:$K$80,'Staffing Plan'!$A$5:$A$80,"Lot 2")</f>
        <v>35430</v>
      </c>
      <c r="D6" s="44" t="n">
        <f aca="false">SUMIFS('Staffing Plan'!$K$5:$K$80,'Staffing Plan'!$A$5:$A$80,"Lot 3")</f>
        <v>7735</v>
      </c>
      <c r="E6" s="44" t="n">
        <f aca="false">SUM(B6:D6)</f>
        <v>133526.5</v>
      </c>
    </row>
    <row r="7" customFormat="false" ht="15" hidden="false" customHeight="false" outlineLevel="0" collapsed="false">
      <c r="A7" s="3" t="s">
        <v>675</v>
      </c>
      <c r="B7" s="36" t="n">
        <f aca="false">ROUND(B6,-2)</f>
        <v>90400</v>
      </c>
      <c r="C7" s="36" t="n">
        <f aca="false">ROUND(C6,-2)</f>
        <v>35400</v>
      </c>
      <c r="D7" s="36" t="n">
        <f aca="false">ROUND(D6,-2)</f>
        <v>7700</v>
      </c>
      <c r="E7" s="36" t="n">
        <f aca="false">SUM(B7:D7)</f>
        <v>133500</v>
      </c>
    </row>
    <row r="8" customFormat="false" ht="15" hidden="false" customHeight="false" outlineLevel="0" collapsed="false">
      <c r="A8" s="5" t="s">
        <v>676</v>
      </c>
      <c r="B8" s="60" t="n">
        <f aca="false">IF($E$7=0,0,B7/$E$7)</f>
        <v>0.677153558052435</v>
      </c>
      <c r="C8" s="60" t="n">
        <f aca="false">IF($E$7=0,0,C7/$E$7)</f>
        <v>0.265168539325843</v>
      </c>
      <c r="D8" s="60" t="n">
        <f aca="false">IF($E$7=0,0,D7/$E$7)</f>
        <v>0.0576779026217228</v>
      </c>
      <c r="E8" s="60" t="n">
        <f aca="false">SUM(B8:D8)</f>
        <v>1</v>
      </c>
    </row>
    <row r="9" customFormat="false" ht="15" hidden="false" customHeight="false" outlineLevel="0" collapsed="false">
      <c r="A9" s="5"/>
    </row>
    <row r="10" customFormat="false" ht="15" hidden="false" customHeight="false" outlineLevel="0" collapsed="false">
      <c r="A10" s="5" t="s">
        <v>677</v>
      </c>
      <c r="B10" s="58" t="n">
        <f aca="false">SUMIFS('Compliance Matrix'!$H$5:$H$95,'Compliance Matrix'!$D$5:$D$95,"Must")</f>
        <v>286.5</v>
      </c>
      <c r="C10" s="58" t="n">
        <f aca="false">SUMIFS('Compliance Matrix'!$H$5:$H$95,'Compliance Matrix'!$D$5:$D$95,"Should")</f>
        <v>112</v>
      </c>
      <c r="D10" s="58" t="n">
        <f aca="false">SUMIFS('Compliance Matrix'!$H$5:$H$95,'Compliance Matrix'!$D$5:$D$95,"Could")</f>
        <v>17</v>
      </c>
      <c r="E10" s="58" t="n">
        <f aca="false">SUM(B10:D10)</f>
        <v>415.5</v>
      </c>
    </row>
    <row r="11" customFormat="false" ht="15" hidden="false" customHeight="false" outlineLevel="0" collapsed="false">
      <c r="A11" s="5" t="s">
        <v>678</v>
      </c>
      <c r="B11" s="58" t="n">
        <f aca="false">SUMIFS('Cross-cutting'!$D$5:$D$17,'Cross-cutting'!$A$5:$A$17,"Must")</f>
        <v>106</v>
      </c>
      <c r="C11" s="58" t="n">
        <f aca="false">SUMIFS('Cross-cutting'!$D$5:$D$17,'Cross-cutting'!$A$5:$A$17,"Should")</f>
        <v>19</v>
      </c>
      <c r="D11" s="58" t="n">
        <f aca="false">SUMIFS('Cross-cutting'!$D$5:$D$17,'Cross-cutting'!$A$5:$A$17,"Could")</f>
        <v>6</v>
      </c>
      <c r="E11" s="58" t="n">
        <f aca="false">SUM(B11:D11)</f>
        <v>131</v>
      </c>
    </row>
    <row r="12" customFormat="false" ht="15" hidden="false" customHeight="false" outlineLevel="0" collapsed="false">
      <c r="A12" s="5" t="s">
        <v>679</v>
      </c>
      <c r="B12" s="29" t="n">
        <f aca="false">B10+B11</f>
        <v>392.5</v>
      </c>
      <c r="C12" s="29" t="n">
        <f aca="false">C10+C11</f>
        <v>131</v>
      </c>
      <c r="D12" s="29" t="n">
        <f aca="false">D10+D11</f>
        <v>23</v>
      </c>
      <c r="E12" s="29" t="n">
        <f aca="false">SUM(B12:D12)</f>
        <v>546.5</v>
      </c>
    </row>
    <row r="13" customFormat="false" ht="15" hidden="false" customHeight="false" outlineLevel="0" collapsed="false">
      <c r="A13" s="5" t="s">
        <v>680</v>
      </c>
      <c r="B13" s="29" t="n">
        <f aca="false">SUMIFS('Staffing Plan'!$I$5:$I$80,'Staffing Plan'!$A$5:$A$80,"Lot 1",'Staffing Plan'!$B$5:$B$80,"Mobilisation and design",'Staffing Plan'!$F$5:$F$80,"SD1")+SUMIFS('Staffing Plan'!$I$5:$I$80,'Staffing Plan'!$A$5:$A$80,"Lot 1",'Staffing Plan'!$B$5:$B$80,"Mobilisation and design",'Staffing Plan'!$F$5:$F$80,"SD2")+SUMIFS('Staffing Plan'!$I$5:$I$80,'Staffing Plan'!$A$5:$A$80,"Lot 1",'Staffing Plan'!$B$5:$B$80,"Mobilisation and design",'Staffing Plan'!$F$5:$F$80,"DEV1")+SUMIFS('Staffing Plan'!$I$5:$I$80,'Staffing Plan'!$A$5:$A$80,"Lot 1",'Staffing Plan'!$B$5:$B$80,"Mobilisation and design",'Staffing Plan'!$F$5:$F$80,"DEV2")+SUMIFS('Staffing Plan'!$I$5:$I$80,'Staffing Plan'!$A$5:$A$80,"Lot 1",'Staffing Plan'!$B$5:$B$80,"Mobilisation and design",'Staffing Plan'!$F$5:$F$80,"DEV3")+SUMIFS('Staffing Plan'!$I$5:$I$80,'Staffing Plan'!$A$5:$A$80,"Lot 1",'Staffing Plan'!$B$5:$B$80,"Mobilisation and design",'Staffing Plan'!$F$5:$F$80,"BA")+SUMIFS('Staffing Plan'!$I$5:$I$80,'Staffing Plan'!$A$5:$A$80,"Lot 1",'Staffing Plan'!$B$5:$B$80,"Configuration and build sprints",'Staffing Plan'!$F$5:$F$80,"SD1")+SUMIFS('Staffing Plan'!$I$5:$I$80,'Staffing Plan'!$A$5:$A$80,"Lot 1",'Staffing Plan'!$B$5:$B$80,"Configuration and build sprints",'Staffing Plan'!$F$5:$F$80,"SD2")+SUMIFS('Staffing Plan'!$I$5:$I$80,'Staffing Plan'!$A$5:$A$80,"Lot 1",'Staffing Plan'!$B$5:$B$80,"Configuration and build sprints",'Staffing Plan'!$F$5:$F$80,"DEV1")+SUMIFS('Staffing Plan'!$I$5:$I$80,'Staffing Plan'!$A$5:$A$80,"Lot 1",'Staffing Plan'!$B$5:$B$80,"Configuration and build sprints",'Staffing Plan'!$F$5:$F$80,"DEV2")+SUMIFS('Staffing Plan'!$I$5:$I$80,'Staffing Plan'!$A$5:$A$80,"Lot 1",'Staffing Plan'!$B$5:$B$80,"Configuration and build sprints",'Staffing Plan'!$F$5:$F$80,"DEV3")+SUMIFS('Staffing Plan'!$I$5:$I$80,'Staffing Plan'!$A$5:$A$80,"Lot 1",'Staffing Plan'!$B$5:$B$80,"Configuration and build sprints",'Staffing Plan'!$F$5:$F$80,"BA")</f>
        <v>384.2</v>
      </c>
      <c r="C13" s="29" t="n">
        <f aca="false">SUMIFS('Staffing Plan'!$I$5:$I$80,'Staffing Plan'!$A$5:$A$80,"Lot 2",'Staffing Plan'!$B$5:$B$80,"Mobilisation and design",'Staffing Plan'!$F$5:$F$80,"SD1")+SUMIFS('Staffing Plan'!$I$5:$I$80,'Staffing Plan'!$A$5:$A$80,"Lot 2",'Staffing Plan'!$B$5:$B$80,"Mobilisation and design",'Staffing Plan'!$F$5:$F$80,"SD2")+SUMIFS('Staffing Plan'!$I$5:$I$80,'Staffing Plan'!$A$5:$A$80,"Lot 2",'Staffing Plan'!$B$5:$B$80,"Mobilisation and design",'Staffing Plan'!$F$5:$F$80,"DEV1")+SUMIFS('Staffing Plan'!$I$5:$I$80,'Staffing Plan'!$A$5:$A$80,"Lot 2",'Staffing Plan'!$B$5:$B$80,"Mobilisation and design",'Staffing Plan'!$F$5:$F$80,"DEV2")+SUMIFS('Staffing Plan'!$I$5:$I$80,'Staffing Plan'!$A$5:$A$80,"Lot 2",'Staffing Plan'!$B$5:$B$80,"Mobilisation and design",'Staffing Plan'!$F$5:$F$80,"DEV3")+SUMIFS('Staffing Plan'!$I$5:$I$80,'Staffing Plan'!$A$5:$A$80,"Lot 2",'Staffing Plan'!$B$5:$B$80,"Mobilisation and design",'Staffing Plan'!$F$5:$F$80,"BA")+SUMIFS('Staffing Plan'!$I$5:$I$80,'Staffing Plan'!$A$5:$A$80,"Lot 2",'Staffing Plan'!$B$5:$B$80,"Configuration and build sprints",'Staffing Plan'!$F$5:$F$80,"SD1")+SUMIFS('Staffing Plan'!$I$5:$I$80,'Staffing Plan'!$A$5:$A$80,"Lot 2",'Staffing Plan'!$B$5:$B$80,"Configuration and build sprints",'Staffing Plan'!$F$5:$F$80,"SD2")+SUMIFS('Staffing Plan'!$I$5:$I$80,'Staffing Plan'!$A$5:$A$80,"Lot 2",'Staffing Plan'!$B$5:$B$80,"Configuration and build sprints",'Staffing Plan'!$F$5:$F$80,"DEV1")+SUMIFS('Staffing Plan'!$I$5:$I$80,'Staffing Plan'!$A$5:$A$80,"Lot 2",'Staffing Plan'!$B$5:$B$80,"Configuration and build sprints",'Staffing Plan'!$F$5:$F$80,"DEV2")+SUMIFS('Staffing Plan'!$I$5:$I$80,'Staffing Plan'!$A$5:$A$80,"Lot 2",'Staffing Plan'!$B$5:$B$80,"Configuration and build sprints",'Staffing Plan'!$F$5:$F$80,"DEV3")+SUMIFS('Staffing Plan'!$I$5:$I$80,'Staffing Plan'!$A$5:$A$80,"Lot 2",'Staffing Plan'!$B$5:$B$80,"Configuration and build sprints",'Staffing Plan'!$F$5:$F$80,"BA")</f>
        <v>142.5</v>
      </c>
      <c r="D13" s="29" t="n">
        <f aca="false">SUMIFS('Staffing Plan'!$I$5:$I$80,'Staffing Plan'!$A$5:$A$80,"Lot 3",'Staffing Plan'!$B$5:$B$80,"Mobilisation and design",'Staffing Plan'!$F$5:$F$80,"SD1")+SUMIFS('Staffing Plan'!$I$5:$I$80,'Staffing Plan'!$A$5:$A$80,"Lot 3",'Staffing Plan'!$B$5:$B$80,"Mobilisation and design",'Staffing Plan'!$F$5:$F$80,"SD2")+SUMIFS('Staffing Plan'!$I$5:$I$80,'Staffing Plan'!$A$5:$A$80,"Lot 3",'Staffing Plan'!$B$5:$B$80,"Mobilisation and design",'Staffing Plan'!$F$5:$F$80,"DEV1")+SUMIFS('Staffing Plan'!$I$5:$I$80,'Staffing Plan'!$A$5:$A$80,"Lot 3",'Staffing Plan'!$B$5:$B$80,"Mobilisation and design",'Staffing Plan'!$F$5:$F$80,"DEV2")+SUMIFS('Staffing Plan'!$I$5:$I$80,'Staffing Plan'!$A$5:$A$80,"Lot 3",'Staffing Plan'!$B$5:$B$80,"Mobilisation and design",'Staffing Plan'!$F$5:$F$80,"DEV3")+SUMIFS('Staffing Plan'!$I$5:$I$80,'Staffing Plan'!$A$5:$A$80,"Lot 3",'Staffing Plan'!$B$5:$B$80,"Mobilisation and design",'Staffing Plan'!$F$5:$F$80,"BA")+SUMIFS('Staffing Plan'!$I$5:$I$80,'Staffing Plan'!$A$5:$A$80,"Lot 3",'Staffing Plan'!$B$5:$B$80,"Configuration and build sprints",'Staffing Plan'!$F$5:$F$80,"SD1")+SUMIFS('Staffing Plan'!$I$5:$I$80,'Staffing Plan'!$A$5:$A$80,"Lot 3",'Staffing Plan'!$B$5:$B$80,"Configuration and build sprints",'Staffing Plan'!$F$5:$F$80,"SD2")+SUMIFS('Staffing Plan'!$I$5:$I$80,'Staffing Plan'!$A$5:$A$80,"Lot 3",'Staffing Plan'!$B$5:$B$80,"Configuration and build sprints",'Staffing Plan'!$F$5:$F$80,"DEV1")+SUMIFS('Staffing Plan'!$I$5:$I$80,'Staffing Plan'!$A$5:$A$80,"Lot 3",'Staffing Plan'!$B$5:$B$80,"Configuration and build sprints",'Staffing Plan'!$F$5:$F$80,"DEV2")+SUMIFS('Staffing Plan'!$I$5:$I$80,'Staffing Plan'!$A$5:$A$80,"Lot 3",'Staffing Plan'!$B$5:$B$80,"Configuration and build sprints",'Staffing Plan'!$F$5:$F$80,"DEV3")+SUMIFS('Staffing Plan'!$I$5:$I$80,'Staffing Plan'!$A$5:$A$80,"Lot 3",'Staffing Plan'!$B$5:$B$80,"Configuration and build sprints",'Staffing Plan'!$F$5:$F$80,"BA")</f>
        <v>30.5</v>
      </c>
      <c r="E13" s="29" t="n">
        <f aca="false">SUM(B13:D13)</f>
        <v>557.2</v>
      </c>
    </row>
    <row r="14" customFormat="false" ht="15" hidden="false" customHeight="false" outlineLevel="0" collapsed="false">
      <c r="A14" s="3" t="s">
        <v>681</v>
      </c>
      <c r="B14" s="35" t="str">
        <f aca="false">IF(B13&gt;=B12*0.97,"Covered","Short by "&amp;TEXT(B12-B13,"0")&amp;" days")</f>
        <v>Covered</v>
      </c>
      <c r="C14" s="35" t="str">
        <f aca="false">IF(C13&gt;=C12*0.97,"Covered","Short by "&amp;TEXT(C12-C13,"0")&amp;" days")</f>
        <v>Covered</v>
      </c>
      <c r="D14" s="35" t="str">
        <f aca="false">IF(D13&gt;=D12*0.97,"Covered","Short by "&amp;TEXT(D12-D13,"0")&amp;" days")</f>
        <v>Covered</v>
      </c>
      <c r="E14" s="35"/>
    </row>
    <row r="16" customFormat="false" ht="15" hidden="false" customHeight="false" outlineLevel="0" collapsed="false">
      <c r="A16" s="2" t="s">
        <v>682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70"/>
    <col collapsed="false" customWidth="true" hidden="false" outlineLevel="0" max="3" min="3" style="0" width="16"/>
    <col collapsed="false" customWidth="true" hidden="false" outlineLevel="0" max="4" min="4" style="0" width="18"/>
    <col collapsed="false" customWidth="true" hidden="false" outlineLevel="0" max="6" min="5" style="0" width="14"/>
  </cols>
  <sheetData>
    <row r="1" customFormat="false" ht="17.35" hidden="false" customHeight="false" outlineLevel="0" collapsed="false">
      <c r="A1" s="1" t="s">
        <v>683</v>
      </c>
    </row>
    <row r="2" customFormat="false" ht="15" hidden="false" customHeight="false" outlineLevel="0" collapsed="false">
      <c r="A2" s="2" t="s">
        <v>684</v>
      </c>
    </row>
    <row r="4" customFormat="false" ht="15" hidden="false" customHeight="false" outlineLevel="0" collapsed="false">
      <c r="A4" s="7" t="s">
        <v>441</v>
      </c>
      <c r="B4" s="7" t="s">
        <v>685</v>
      </c>
      <c r="C4" s="7" t="s">
        <v>597</v>
      </c>
      <c r="D4" s="7" t="s">
        <v>686</v>
      </c>
    </row>
    <row r="5" customFormat="false" ht="26.85" hidden="false" customHeight="false" outlineLevel="0" collapsed="false">
      <c r="A5" s="13" t="s">
        <v>670</v>
      </c>
      <c r="B5" s="13" t="s">
        <v>687</v>
      </c>
      <c r="C5" s="61" t="n">
        <v>46482</v>
      </c>
      <c r="D5" s="23" t="n">
        <f aca="false">'Effort by Lot'!B7</f>
        <v>90400</v>
      </c>
    </row>
    <row r="6" customFormat="false" ht="15" hidden="false" customHeight="false" outlineLevel="0" collapsed="false">
      <c r="A6" s="13" t="s">
        <v>671</v>
      </c>
      <c r="B6" s="13" t="s">
        <v>688</v>
      </c>
      <c r="C6" s="61" t="n">
        <v>46594</v>
      </c>
      <c r="D6" s="23" t="n">
        <f aca="false">'Effort by Lot'!C7</f>
        <v>35400</v>
      </c>
    </row>
    <row r="7" customFormat="false" ht="15" hidden="false" customHeight="false" outlineLevel="0" collapsed="false">
      <c r="A7" s="13" t="s">
        <v>672</v>
      </c>
      <c r="B7" s="13" t="s">
        <v>689</v>
      </c>
      <c r="C7" s="61" t="n">
        <v>46650</v>
      </c>
      <c r="D7" s="23" t="n">
        <f aca="false">'Effort by Lot'!D7</f>
        <v>7700</v>
      </c>
    </row>
    <row r="8" customFormat="false" ht="15" hidden="false" customHeight="false" outlineLevel="0" collapsed="false">
      <c r="C8" s="3" t="s">
        <v>690</v>
      </c>
      <c r="D8" s="25" t="n">
        <f aca="false">SUM(D5:D7)</f>
        <v>133500</v>
      </c>
    </row>
    <row r="10" customFormat="false" ht="15" hidden="false" customHeight="false" outlineLevel="0" collapsed="false">
      <c r="A10" s="3" t="s">
        <v>691</v>
      </c>
    </row>
    <row r="11" customFormat="false" ht="15" hidden="false" customHeight="false" outlineLevel="0" collapsed="false">
      <c r="A11" s="7" t="s">
        <v>692</v>
      </c>
      <c r="B11" s="7" t="s">
        <v>693</v>
      </c>
      <c r="C11" s="7" t="s">
        <v>694</v>
      </c>
      <c r="D11" s="7" t="s">
        <v>695</v>
      </c>
      <c r="E11" s="7" t="s">
        <v>696</v>
      </c>
      <c r="F11" s="7" t="s">
        <v>697</v>
      </c>
    </row>
    <row r="12" customFormat="false" ht="15" hidden="false" customHeight="false" outlineLevel="0" collapsed="false">
      <c r="A12" s="5" t="s">
        <v>698</v>
      </c>
      <c r="B12" s="5" t="s">
        <v>699</v>
      </c>
      <c r="C12" s="62" t="n">
        <v>0.2</v>
      </c>
      <c r="D12" s="63" t="n">
        <f aca="false">$C12*$D$5</f>
        <v>18080</v>
      </c>
      <c r="E12" s="63" t="n">
        <f aca="false">$C12*$D$6</f>
        <v>7080</v>
      </c>
      <c r="F12" s="63" t="n">
        <f aca="false">$C12*$D$7</f>
        <v>1540</v>
      </c>
    </row>
    <row r="13" customFormat="false" ht="15" hidden="false" customHeight="false" outlineLevel="0" collapsed="false">
      <c r="A13" s="5" t="s">
        <v>700</v>
      </c>
      <c r="B13" s="5" t="s">
        <v>701</v>
      </c>
      <c r="C13" s="62" t="n">
        <v>0.3</v>
      </c>
      <c r="D13" s="63" t="n">
        <f aca="false">$C13*$D$5</f>
        <v>27120</v>
      </c>
      <c r="E13" s="63" t="n">
        <f aca="false">$C13*$D$6</f>
        <v>10620</v>
      </c>
      <c r="F13" s="63" t="n">
        <f aca="false">$C13*$D$7</f>
        <v>2310</v>
      </c>
    </row>
    <row r="14" customFormat="false" ht="15" hidden="false" customHeight="false" outlineLevel="0" collapsed="false">
      <c r="A14" s="5" t="s">
        <v>702</v>
      </c>
      <c r="B14" s="5" t="s">
        <v>703</v>
      </c>
      <c r="C14" s="62" t="n">
        <v>0.3</v>
      </c>
      <c r="D14" s="63" t="n">
        <f aca="false">$C14*$D$5</f>
        <v>27120</v>
      </c>
      <c r="E14" s="63" t="n">
        <f aca="false">$C14*$D$6</f>
        <v>10620</v>
      </c>
      <c r="F14" s="63" t="n">
        <f aca="false">$C14*$D$7</f>
        <v>2310</v>
      </c>
    </row>
    <row r="15" customFormat="false" ht="15" hidden="false" customHeight="false" outlineLevel="0" collapsed="false">
      <c r="A15" s="5" t="s">
        <v>704</v>
      </c>
      <c r="B15" s="5" t="s">
        <v>705</v>
      </c>
      <c r="C15" s="62" t="n">
        <v>0.2</v>
      </c>
      <c r="D15" s="63" t="n">
        <f aca="false">$C15*$D$5</f>
        <v>18080</v>
      </c>
      <c r="E15" s="63" t="n">
        <f aca="false">$C15*$D$6</f>
        <v>7080</v>
      </c>
      <c r="F15" s="63" t="n">
        <f aca="false">$C15*$D$7</f>
        <v>1540</v>
      </c>
    </row>
    <row r="16" customFormat="false" ht="15" hidden="false" customHeight="false" outlineLevel="0" collapsed="false">
      <c r="B16" s="3" t="s">
        <v>436</v>
      </c>
      <c r="C16" s="64" t="n">
        <f aca="false">SUM(C12:C15)</f>
        <v>1</v>
      </c>
      <c r="D16" s="25" t="n">
        <f aca="false">SUM(D12:D15)</f>
        <v>90400</v>
      </c>
      <c r="E16" s="25" t="n">
        <f aca="false">SUM(E12:E15)</f>
        <v>35400</v>
      </c>
      <c r="F16" s="25" t="n">
        <f aca="false">SUM(F12:F15)</f>
        <v>7700</v>
      </c>
    </row>
    <row r="18" customFormat="false" ht="15" hidden="false" customHeight="false" outlineLevel="0" collapsed="false">
      <c r="A18" s="3" t="s">
        <v>706</v>
      </c>
    </row>
    <row r="19" customFormat="false" ht="15" hidden="false" customHeight="false" outlineLevel="0" collapsed="false">
      <c r="A19" s="7" t="s">
        <v>707</v>
      </c>
      <c r="B19" s="7" t="s">
        <v>708</v>
      </c>
      <c r="C19" s="7"/>
      <c r="D19" s="7" t="s">
        <v>709</v>
      </c>
    </row>
    <row r="20" customFormat="false" ht="15" hidden="false" customHeight="false" outlineLevel="0" collapsed="false">
      <c r="A20" s="5" t="s">
        <v>710</v>
      </c>
      <c r="B20" s="5" t="s">
        <v>711</v>
      </c>
      <c r="D20" s="10" t="n">
        <f aca="false">(Assumptions!$C$22+Assumptions!$C$23)*12</f>
        <v>4500</v>
      </c>
    </row>
    <row r="21" customFormat="false" ht="15" hidden="false" customHeight="false" outlineLevel="0" collapsed="false">
      <c r="A21" s="5" t="s">
        <v>712</v>
      </c>
      <c r="B21" s="5" t="s">
        <v>713</v>
      </c>
      <c r="D21" s="10" t="n">
        <f aca="false">Assumptions!$C$24*12</f>
        <v>36000</v>
      </c>
    </row>
    <row r="22" customFormat="false" ht="15" hidden="false" customHeight="false" outlineLevel="0" collapsed="false">
      <c r="A22" s="5" t="s">
        <v>714</v>
      </c>
      <c r="B22" s="5" t="s">
        <v>715</v>
      </c>
      <c r="D22" s="10" t="n">
        <f aca="false">Assumptions!$C$25</f>
        <v>3000</v>
      </c>
    </row>
    <row r="23" customFormat="false" ht="15" hidden="false" customHeight="false" outlineLevel="0" collapsed="false">
      <c r="A23" s="5" t="s">
        <v>716</v>
      </c>
      <c r="B23" s="5" t="s">
        <v>717</v>
      </c>
      <c r="D23" s="10" t="n">
        <f aca="false">Assumptions!$C$26*Assumptions!$C$28*12</f>
        <v>0</v>
      </c>
    </row>
    <row r="24" customFormat="false" ht="15" hidden="false" customHeight="false" outlineLevel="0" collapsed="false">
      <c r="B24" s="3" t="s">
        <v>718</v>
      </c>
      <c r="D24" s="25" t="n">
        <f aca="false">SUM(D20:D23)</f>
        <v>43500</v>
      </c>
    </row>
    <row r="26" customFormat="false" ht="15" hidden="false" customHeight="false" outlineLevel="0" collapsed="false">
      <c r="A26" s="2" t="s">
        <v>719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6" min="2" style="0" width="15"/>
    <col collapsed="false" customWidth="true" hidden="false" outlineLevel="0" max="7" min="7" style="0" width="17"/>
  </cols>
  <sheetData>
    <row r="1" customFormat="false" ht="17.35" hidden="false" customHeight="false" outlineLevel="0" collapsed="false">
      <c r="A1" s="1" t="s">
        <v>720</v>
      </c>
    </row>
    <row r="2" customFormat="false" ht="15" hidden="false" customHeight="false" outlineLevel="0" collapsed="false">
      <c r="A2" s="2" t="s">
        <v>721</v>
      </c>
    </row>
    <row r="4" customFormat="false" ht="15" hidden="false" customHeight="false" outlineLevel="0" collapsed="false">
      <c r="A4" s="7" t="s">
        <v>722</v>
      </c>
      <c r="B4" s="7" t="s">
        <v>723</v>
      </c>
      <c r="C4" s="7" t="s">
        <v>724</v>
      </c>
      <c r="D4" s="7" t="s">
        <v>725</v>
      </c>
      <c r="E4" s="7" t="s">
        <v>726</v>
      </c>
      <c r="F4" s="7" t="s">
        <v>727</v>
      </c>
      <c r="G4" s="7" t="s">
        <v>728</v>
      </c>
    </row>
    <row r="5" customFormat="false" ht="15" hidden="false" customHeight="false" outlineLevel="0" collapsed="false">
      <c r="A5" s="0" t="s">
        <v>716</v>
      </c>
      <c r="B5" s="30" t="n">
        <f aca="false">'Financial Offer'!$D$23</f>
        <v>0</v>
      </c>
      <c r="C5" s="30" t="n">
        <f aca="false">'Financial Offer'!$D$23</f>
        <v>0</v>
      </c>
      <c r="D5" s="30" t="n">
        <f aca="false">'Financial Offer'!$D$23</f>
        <v>0</v>
      </c>
      <c r="E5" s="30" t="n">
        <f aca="false">'Financial Offer'!$D$23</f>
        <v>0</v>
      </c>
      <c r="F5" s="30" t="n">
        <f aca="false">'Financial Offer'!$D$23</f>
        <v>0</v>
      </c>
      <c r="G5" s="36" t="n">
        <f aca="false">SUM(B5:F5)</f>
        <v>0</v>
      </c>
    </row>
    <row r="6" customFormat="false" ht="15" hidden="false" customHeight="false" outlineLevel="0" collapsed="false">
      <c r="A6" s="0" t="s">
        <v>729</v>
      </c>
      <c r="B6" s="30" t="n">
        <f aca="false">'Financial Offer'!$D$5</f>
        <v>90400</v>
      </c>
      <c r="C6" s="30" t="n">
        <v>0</v>
      </c>
      <c r="D6" s="30" t="n">
        <v>0</v>
      </c>
      <c r="E6" s="30" t="n">
        <v>0</v>
      </c>
      <c r="F6" s="30" t="n">
        <v>0</v>
      </c>
      <c r="G6" s="36" t="n">
        <f aca="false">SUM(B6:F6)</f>
        <v>90400</v>
      </c>
    </row>
    <row r="7" customFormat="false" ht="15" hidden="false" customHeight="false" outlineLevel="0" collapsed="false">
      <c r="A7" s="0" t="s">
        <v>730</v>
      </c>
      <c r="B7" s="30" t="n">
        <f aca="false">'Financial Offer'!$D$6</f>
        <v>35400</v>
      </c>
      <c r="C7" s="30" t="n">
        <v>0</v>
      </c>
      <c r="D7" s="30" t="n">
        <v>0</v>
      </c>
      <c r="E7" s="30" t="n">
        <v>0</v>
      </c>
      <c r="F7" s="30" t="n">
        <v>0</v>
      </c>
      <c r="G7" s="36" t="n">
        <f aca="false">SUM(B7:F7)</f>
        <v>35400</v>
      </c>
    </row>
    <row r="8" customFormat="false" ht="15" hidden="false" customHeight="false" outlineLevel="0" collapsed="false">
      <c r="A8" s="0" t="s">
        <v>731</v>
      </c>
      <c r="B8" s="30" t="n">
        <f aca="false">'Financial Offer'!$D$7</f>
        <v>7700</v>
      </c>
      <c r="C8" s="30" t="n">
        <v>0</v>
      </c>
      <c r="D8" s="30" t="n">
        <v>0</v>
      </c>
      <c r="E8" s="30" t="n">
        <v>0</v>
      </c>
      <c r="F8" s="30" t="n">
        <v>0</v>
      </c>
      <c r="G8" s="36" t="n">
        <f aca="false">SUM(B8:F8)</f>
        <v>7700</v>
      </c>
    </row>
    <row r="9" customFormat="false" ht="15" hidden="false" customHeight="false" outlineLevel="0" collapsed="false">
      <c r="A9" s="0" t="s">
        <v>732</v>
      </c>
      <c r="B9" s="30" t="n">
        <f aca="false">'Financial Offer'!$D$20*B15</f>
        <v>4500</v>
      </c>
      <c r="C9" s="30" t="n">
        <f aca="false">'Financial Offer'!$D$20*C15</f>
        <v>4635</v>
      </c>
      <c r="D9" s="30" t="n">
        <f aca="false">'Financial Offer'!$D$20*D15</f>
        <v>4774.05</v>
      </c>
      <c r="E9" s="30" t="n">
        <f aca="false">'Financial Offer'!$D$20*E15</f>
        <v>4917.2715</v>
      </c>
      <c r="F9" s="30" t="n">
        <f aca="false">'Financial Offer'!$D$20*F15</f>
        <v>5064.789645</v>
      </c>
      <c r="G9" s="36" t="n">
        <f aca="false">SUM(B9:F9)</f>
        <v>23891.111145</v>
      </c>
    </row>
    <row r="10" customFormat="false" ht="15" hidden="false" customHeight="false" outlineLevel="0" collapsed="false">
      <c r="A10" s="0" t="s">
        <v>733</v>
      </c>
      <c r="B10" s="30" t="n">
        <f aca="false">Assumptions!$C$24*B14*B15</f>
        <v>21000</v>
      </c>
      <c r="C10" s="30" t="n">
        <f aca="false">Assumptions!$C$24*C14*C15</f>
        <v>37080</v>
      </c>
      <c r="D10" s="30" t="n">
        <f aca="false">Assumptions!$C$24*D14*D15</f>
        <v>38192.4</v>
      </c>
      <c r="E10" s="30" t="n">
        <f aca="false">Assumptions!$C$24*E14*E15</f>
        <v>39338.172</v>
      </c>
      <c r="F10" s="30" t="n">
        <f aca="false">Assumptions!$C$24*F14*F15</f>
        <v>40518.31716</v>
      </c>
      <c r="G10" s="36" t="n">
        <f aca="false">SUM(B10:F10)</f>
        <v>176128.88916</v>
      </c>
    </row>
    <row r="11" customFormat="false" ht="15" hidden="false" customHeight="false" outlineLevel="0" collapsed="false">
      <c r="A11" s="0" t="s">
        <v>714</v>
      </c>
      <c r="B11" s="30" t="n">
        <f aca="false">Assumptions!$C$29</f>
        <v>4500</v>
      </c>
      <c r="C11" s="30" t="n">
        <f aca="false">Assumptions!$C$25</f>
        <v>3000</v>
      </c>
      <c r="D11" s="30" t="n">
        <f aca="false">Assumptions!$C$25</f>
        <v>3000</v>
      </c>
      <c r="E11" s="30" t="n">
        <f aca="false">Assumptions!$C$25</f>
        <v>3000</v>
      </c>
      <c r="F11" s="30" t="n">
        <f aca="false">Assumptions!$C$25</f>
        <v>3000</v>
      </c>
      <c r="G11" s="36" t="n">
        <f aca="false">SUM(B11:F11)</f>
        <v>16500</v>
      </c>
    </row>
    <row r="12" customFormat="false" ht="15" hidden="false" customHeight="false" outlineLevel="0" collapsed="false">
      <c r="A12" s="3" t="s">
        <v>436</v>
      </c>
      <c r="B12" s="36" t="n">
        <f aca="false">SUM(B5:B11)</f>
        <v>163500</v>
      </c>
      <c r="C12" s="36" t="n">
        <f aca="false">SUM(C5:C11)</f>
        <v>44715</v>
      </c>
      <c r="D12" s="36" t="n">
        <f aca="false">SUM(D5:D11)</f>
        <v>45966.45</v>
      </c>
      <c r="E12" s="36" t="n">
        <f aca="false">SUM(E5:E11)</f>
        <v>47255.4435</v>
      </c>
      <c r="F12" s="36" t="n">
        <f aca="false">SUM(F5:F11)</f>
        <v>48583.106805</v>
      </c>
      <c r="G12" s="36" t="n">
        <f aca="false">SUM(B12:F12)</f>
        <v>350020.000305</v>
      </c>
    </row>
    <row r="14" customFormat="false" ht="15" hidden="false" customHeight="false" outlineLevel="0" collapsed="false">
      <c r="A14" s="0" t="s">
        <v>734</v>
      </c>
      <c r="B14" s="65" t="n">
        <v>7</v>
      </c>
      <c r="C14" s="65" t="n">
        <v>12</v>
      </c>
      <c r="D14" s="65" t="n">
        <v>12</v>
      </c>
      <c r="E14" s="65" t="n">
        <v>12</v>
      </c>
      <c r="F14" s="65" t="n">
        <v>12</v>
      </c>
    </row>
    <row r="15" customFormat="false" ht="15" hidden="false" customHeight="false" outlineLevel="0" collapsed="false">
      <c r="A15" s="0" t="s">
        <v>735</v>
      </c>
      <c r="B15" s="66" t="n">
        <f aca="false">(1+Assumptions!$C$27)^0</f>
        <v>1</v>
      </c>
      <c r="C15" s="66" t="n">
        <f aca="false">(1+Assumptions!$C$27)^1</f>
        <v>1.03</v>
      </c>
      <c r="D15" s="66" t="n">
        <f aca="false">(1+Assumptions!$C$27)^2</f>
        <v>1.0609</v>
      </c>
      <c r="E15" s="66" t="n">
        <f aca="false">(1+Assumptions!$C$27)^3</f>
        <v>1.092727</v>
      </c>
      <c r="F15" s="66" t="n">
        <f aca="false">(1+Assumptions!$C$27)^4</f>
        <v>1.12550881</v>
      </c>
    </row>
    <row r="17" customFormat="false" ht="15" hidden="false" customHeight="false" outlineLevel="0" collapsed="false">
      <c r="A17" s="2" t="s">
        <v>736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3" min="3" style="0" width="40"/>
    <col collapsed="false" customWidth="true" hidden="false" outlineLevel="0" max="7" min="4" style="0" width="14"/>
  </cols>
  <sheetData>
    <row r="1" customFormat="false" ht="17.35" hidden="false" customHeight="false" outlineLevel="0" collapsed="false">
      <c r="A1" s="1" t="s">
        <v>737</v>
      </c>
    </row>
    <row r="2" customFormat="false" ht="15" hidden="false" customHeight="false" outlineLevel="0" collapsed="false">
      <c r="A2" s="2" t="s">
        <v>738</v>
      </c>
    </row>
    <row r="4" customFormat="false" ht="29.85" hidden="false" customHeight="false" outlineLevel="0" collapsed="false">
      <c r="A4" s="26" t="s">
        <v>441</v>
      </c>
      <c r="B4" s="26" t="s">
        <v>692</v>
      </c>
      <c r="C4" s="26" t="s">
        <v>693</v>
      </c>
      <c r="D4" s="26" t="s">
        <v>739</v>
      </c>
      <c r="E4" s="26" t="s">
        <v>694</v>
      </c>
      <c r="F4" s="26" t="s">
        <v>740</v>
      </c>
    </row>
    <row r="5" customFormat="false" ht="15" hidden="false" customHeight="false" outlineLevel="0" collapsed="false">
      <c r="A5" s="41" t="s">
        <v>482</v>
      </c>
      <c r="B5" s="41" t="s">
        <v>698</v>
      </c>
      <c r="C5" s="41" t="s">
        <v>741</v>
      </c>
      <c r="D5" s="67" t="n">
        <v>46339</v>
      </c>
      <c r="E5" s="68" t="n">
        <v>0.2</v>
      </c>
      <c r="F5" s="44" t="n">
        <f aca="false">E5*'Financial Offer'!$D$5</f>
        <v>18080</v>
      </c>
    </row>
    <row r="6" customFormat="false" ht="15" hidden="false" customHeight="false" outlineLevel="0" collapsed="false">
      <c r="A6" s="41" t="s">
        <v>482</v>
      </c>
      <c r="B6" s="41" t="s">
        <v>700</v>
      </c>
      <c r="C6" s="41" t="s">
        <v>701</v>
      </c>
      <c r="D6" s="67" t="n">
        <v>46346</v>
      </c>
      <c r="E6" s="68" t="n">
        <v>0.3</v>
      </c>
      <c r="F6" s="44" t="n">
        <f aca="false">E6*'Financial Offer'!$D$5</f>
        <v>27120</v>
      </c>
    </row>
    <row r="7" customFormat="false" ht="15" hidden="false" customHeight="false" outlineLevel="0" collapsed="false">
      <c r="A7" s="41" t="s">
        <v>482</v>
      </c>
      <c r="B7" s="41" t="s">
        <v>702</v>
      </c>
      <c r="C7" s="41" t="s">
        <v>703</v>
      </c>
      <c r="D7" s="67" t="n">
        <v>46479</v>
      </c>
      <c r="E7" s="68" t="n">
        <v>0.3</v>
      </c>
      <c r="F7" s="44" t="n">
        <f aca="false">E7*'Financial Offer'!$D$5</f>
        <v>27120</v>
      </c>
    </row>
    <row r="8" customFormat="false" ht="15" hidden="false" customHeight="false" outlineLevel="0" collapsed="false">
      <c r="A8" s="41" t="s">
        <v>482</v>
      </c>
      <c r="B8" s="41" t="s">
        <v>704</v>
      </c>
      <c r="C8" s="41" t="s">
        <v>742</v>
      </c>
      <c r="D8" s="67" t="n">
        <v>46512</v>
      </c>
      <c r="E8" s="68" t="n">
        <v>0.2</v>
      </c>
      <c r="F8" s="44" t="n">
        <f aca="false">E8*'Financial Offer'!$D$5</f>
        <v>18080</v>
      </c>
    </row>
    <row r="9" customFormat="false" ht="15" hidden="false" customHeight="false" outlineLevel="0" collapsed="false">
      <c r="A9" s="41" t="s">
        <v>524</v>
      </c>
      <c r="B9" s="41" t="s">
        <v>698</v>
      </c>
      <c r="C9" s="41" t="s">
        <v>743</v>
      </c>
      <c r="D9" s="67" t="n">
        <v>46510</v>
      </c>
      <c r="E9" s="68" t="n">
        <v>0.2</v>
      </c>
      <c r="F9" s="44" t="n">
        <f aca="false">E9*'Financial Offer'!$D$6</f>
        <v>7080</v>
      </c>
    </row>
    <row r="10" customFormat="false" ht="15" hidden="false" customHeight="false" outlineLevel="0" collapsed="false">
      <c r="A10" s="41" t="s">
        <v>524</v>
      </c>
      <c r="B10" s="41" t="s">
        <v>700</v>
      </c>
      <c r="C10" s="41" t="s">
        <v>744</v>
      </c>
      <c r="D10" s="67" t="n">
        <v>46514</v>
      </c>
      <c r="E10" s="68" t="n">
        <v>0.3</v>
      </c>
      <c r="F10" s="44" t="n">
        <f aca="false">E10*'Financial Offer'!$D$6</f>
        <v>10620</v>
      </c>
    </row>
    <row r="11" customFormat="false" ht="15" hidden="false" customHeight="false" outlineLevel="0" collapsed="false">
      <c r="A11" s="41" t="s">
        <v>524</v>
      </c>
      <c r="B11" s="41" t="s">
        <v>702</v>
      </c>
      <c r="C11" s="41" t="s">
        <v>745</v>
      </c>
      <c r="D11" s="67" t="n">
        <v>46591</v>
      </c>
      <c r="E11" s="68" t="n">
        <v>0.3</v>
      </c>
      <c r="F11" s="44" t="n">
        <f aca="false">E11*'Financial Offer'!$D$6</f>
        <v>10620</v>
      </c>
    </row>
    <row r="12" customFormat="false" ht="15" hidden="false" customHeight="false" outlineLevel="0" collapsed="false">
      <c r="A12" s="41" t="s">
        <v>524</v>
      </c>
      <c r="B12" s="41" t="s">
        <v>704</v>
      </c>
      <c r="C12" s="41" t="s">
        <v>742</v>
      </c>
      <c r="D12" s="67" t="n">
        <v>46624</v>
      </c>
      <c r="E12" s="68" t="n">
        <v>0.2</v>
      </c>
      <c r="F12" s="44" t="n">
        <f aca="false">E12*'Financial Offer'!$D$6</f>
        <v>7080</v>
      </c>
    </row>
    <row r="13" customFormat="false" ht="15" hidden="false" customHeight="false" outlineLevel="0" collapsed="false">
      <c r="A13" s="41" t="s">
        <v>548</v>
      </c>
      <c r="B13" s="41" t="s">
        <v>698</v>
      </c>
      <c r="C13" s="41" t="s">
        <v>743</v>
      </c>
      <c r="D13" s="67" t="n">
        <v>46601</v>
      </c>
      <c r="E13" s="68" t="n">
        <v>0.2</v>
      </c>
      <c r="F13" s="44" t="n">
        <f aca="false">E13*'Financial Offer'!$D$7</f>
        <v>1540</v>
      </c>
    </row>
    <row r="14" customFormat="false" ht="15" hidden="false" customHeight="false" outlineLevel="0" collapsed="false">
      <c r="A14" s="41" t="s">
        <v>548</v>
      </c>
      <c r="B14" s="41" t="s">
        <v>700</v>
      </c>
      <c r="C14" s="41" t="s">
        <v>744</v>
      </c>
      <c r="D14" s="67" t="n">
        <v>46605</v>
      </c>
      <c r="E14" s="68" t="n">
        <v>0.3</v>
      </c>
      <c r="F14" s="44" t="n">
        <f aca="false">E14*'Financial Offer'!$D$7</f>
        <v>2310</v>
      </c>
    </row>
    <row r="15" customFormat="false" ht="15" hidden="false" customHeight="false" outlineLevel="0" collapsed="false">
      <c r="A15" s="41" t="s">
        <v>548</v>
      </c>
      <c r="B15" s="41" t="s">
        <v>702</v>
      </c>
      <c r="C15" s="41" t="s">
        <v>745</v>
      </c>
      <c r="D15" s="67" t="n">
        <v>46647</v>
      </c>
      <c r="E15" s="68" t="n">
        <v>0.3</v>
      </c>
      <c r="F15" s="44" t="n">
        <f aca="false">E15*'Financial Offer'!$D$7</f>
        <v>2310</v>
      </c>
    </row>
    <row r="16" customFormat="false" ht="15" hidden="false" customHeight="false" outlineLevel="0" collapsed="false">
      <c r="A16" s="41" t="s">
        <v>548</v>
      </c>
      <c r="B16" s="41" t="s">
        <v>704</v>
      </c>
      <c r="C16" s="41" t="s">
        <v>742</v>
      </c>
      <c r="D16" s="67" t="n">
        <v>46680</v>
      </c>
      <c r="E16" s="68" t="n">
        <v>0.2</v>
      </c>
      <c r="F16" s="44" t="n">
        <f aca="false">E16*'Financial Offer'!$D$7</f>
        <v>1540</v>
      </c>
    </row>
    <row r="17" customFormat="false" ht="15" hidden="false" customHeight="false" outlineLevel="0" collapsed="false">
      <c r="E17" s="3" t="s">
        <v>436</v>
      </c>
      <c r="F17" s="25" t="n">
        <f aca="false">SUM(F5:F16)</f>
        <v>133500</v>
      </c>
    </row>
    <row r="19" customFormat="false" ht="15" hidden="false" customHeight="false" outlineLevel="0" collapsed="false">
      <c r="A19" s="3" t="s">
        <v>746</v>
      </c>
    </row>
    <row r="20" customFormat="false" ht="29.85" hidden="false" customHeight="false" outlineLevel="0" collapsed="false">
      <c r="A20" s="26" t="s">
        <v>747</v>
      </c>
      <c r="B20" s="26" t="s">
        <v>748</v>
      </c>
      <c r="C20" s="26" t="s">
        <v>749</v>
      </c>
      <c r="D20" s="26" t="s">
        <v>750</v>
      </c>
      <c r="E20" s="26" t="s">
        <v>751</v>
      </c>
      <c r="F20" s="26" t="s">
        <v>436</v>
      </c>
      <c r="G20" s="26" t="s">
        <v>752</v>
      </c>
    </row>
    <row r="21" customFormat="false" ht="15" hidden="false" customHeight="false" outlineLevel="0" collapsed="false">
      <c r="A21" s="69" t="n">
        <v>46327</v>
      </c>
      <c r="B21" s="70" t="n">
        <f aca="false">SUMIFS($F$5:$F$16,$D$5:$D$16,"&gt;="&amp;A21,$D$5:$D$16,"&lt;"&amp;EDATE(A21,1))</f>
        <v>45200</v>
      </c>
      <c r="C21" s="70" t="n">
        <f aca="false">Assumptions!$C$22+Assumptions!$C$23</f>
        <v>375</v>
      </c>
      <c r="D21" s="70" t="n">
        <f aca="false">IF(A21&gt;=DATE(2027,4,1),Assumptions!$C$24,0)</f>
        <v>0</v>
      </c>
      <c r="E21" s="70" t="n">
        <f aca="false">IF(A21=DATE(2027,3,1),Assumptions!$C$29,0)</f>
        <v>0</v>
      </c>
      <c r="F21" s="70" t="n">
        <f aca="false">SUM(B21:E21)</f>
        <v>45575</v>
      </c>
      <c r="G21" s="70" t="n">
        <f aca="false">SUM($F$21:F21)</f>
        <v>45575</v>
      </c>
    </row>
    <row r="22" customFormat="false" ht="15" hidden="false" customHeight="false" outlineLevel="0" collapsed="false">
      <c r="A22" s="69" t="n">
        <v>46357</v>
      </c>
      <c r="B22" s="70" t="n">
        <f aca="false">SUMIFS($F$5:$F$16,$D$5:$D$16,"&gt;="&amp;A22,$D$5:$D$16,"&lt;"&amp;EDATE(A22,1))</f>
        <v>0</v>
      </c>
      <c r="C22" s="70" t="n">
        <f aca="false">Assumptions!$C$22+Assumptions!$C$23</f>
        <v>375</v>
      </c>
      <c r="D22" s="70" t="n">
        <f aca="false">IF(A22&gt;=DATE(2027,4,1),Assumptions!$C$24,0)</f>
        <v>0</v>
      </c>
      <c r="E22" s="70" t="n">
        <f aca="false">IF(A22=DATE(2027,3,1),Assumptions!$C$29,0)</f>
        <v>0</v>
      </c>
      <c r="F22" s="70" t="n">
        <f aca="false">SUM(B22:E22)</f>
        <v>375</v>
      </c>
      <c r="G22" s="70" t="n">
        <f aca="false">SUM($F$21:F22)</f>
        <v>45950</v>
      </c>
    </row>
    <row r="23" customFormat="false" ht="15" hidden="false" customHeight="false" outlineLevel="0" collapsed="false">
      <c r="A23" s="69" t="n">
        <v>46388</v>
      </c>
      <c r="B23" s="70" t="n">
        <f aca="false">SUMIFS($F$5:$F$16,$D$5:$D$16,"&gt;="&amp;A23,$D$5:$D$16,"&lt;"&amp;EDATE(A23,1))</f>
        <v>0</v>
      </c>
      <c r="C23" s="70" t="n">
        <f aca="false">Assumptions!$C$22+Assumptions!$C$23</f>
        <v>375</v>
      </c>
      <c r="D23" s="70" t="n">
        <f aca="false">IF(A23&gt;=DATE(2027,4,1),Assumptions!$C$24,0)</f>
        <v>0</v>
      </c>
      <c r="E23" s="70" t="n">
        <f aca="false">IF(A23=DATE(2027,3,1),Assumptions!$C$29,0)</f>
        <v>0</v>
      </c>
      <c r="F23" s="70" t="n">
        <f aca="false">SUM(B23:E23)</f>
        <v>375</v>
      </c>
      <c r="G23" s="70" t="n">
        <f aca="false">SUM($F$21:F23)</f>
        <v>46325</v>
      </c>
    </row>
    <row r="24" customFormat="false" ht="15" hidden="false" customHeight="false" outlineLevel="0" collapsed="false">
      <c r="A24" s="69" t="n">
        <v>46419</v>
      </c>
      <c r="B24" s="70" t="n">
        <f aca="false">SUMIFS($F$5:$F$16,$D$5:$D$16,"&gt;="&amp;A24,$D$5:$D$16,"&lt;"&amp;EDATE(A24,1))</f>
        <v>0</v>
      </c>
      <c r="C24" s="70" t="n">
        <f aca="false">Assumptions!$C$22+Assumptions!$C$23</f>
        <v>375</v>
      </c>
      <c r="D24" s="70" t="n">
        <f aca="false">IF(A24&gt;=DATE(2027,4,1),Assumptions!$C$24,0)</f>
        <v>0</v>
      </c>
      <c r="E24" s="70" t="n">
        <f aca="false">IF(A24=DATE(2027,3,1),Assumptions!$C$29,0)</f>
        <v>0</v>
      </c>
      <c r="F24" s="70" t="n">
        <f aca="false">SUM(B24:E24)</f>
        <v>375</v>
      </c>
      <c r="G24" s="70" t="n">
        <f aca="false">SUM($F$21:F24)</f>
        <v>46700</v>
      </c>
    </row>
    <row r="25" customFormat="false" ht="15" hidden="false" customHeight="false" outlineLevel="0" collapsed="false">
      <c r="A25" s="69" t="n">
        <v>46447</v>
      </c>
      <c r="B25" s="70" t="n">
        <f aca="false">SUMIFS($F$5:$F$16,$D$5:$D$16,"&gt;="&amp;A25,$D$5:$D$16,"&lt;"&amp;EDATE(A25,1))</f>
        <v>0</v>
      </c>
      <c r="C25" s="70" t="n">
        <f aca="false">Assumptions!$C$22+Assumptions!$C$23</f>
        <v>375</v>
      </c>
      <c r="D25" s="70" t="n">
        <f aca="false">IF(A25&gt;=DATE(2027,4,1),Assumptions!$C$24,0)</f>
        <v>0</v>
      </c>
      <c r="E25" s="70" t="n">
        <f aca="false">IF(A25=DATE(2027,3,1),Assumptions!$C$29,0)</f>
        <v>4500</v>
      </c>
      <c r="F25" s="70" t="n">
        <f aca="false">SUM(B25:E25)</f>
        <v>4875</v>
      </c>
      <c r="G25" s="70" t="n">
        <f aca="false">SUM($F$21:F25)</f>
        <v>51575</v>
      </c>
    </row>
    <row r="26" customFormat="false" ht="15" hidden="false" customHeight="false" outlineLevel="0" collapsed="false">
      <c r="A26" s="69" t="n">
        <v>46478</v>
      </c>
      <c r="B26" s="70" t="n">
        <f aca="false">SUMIFS($F$5:$F$16,$D$5:$D$16,"&gt;="&amp;A26,$D$5:$D$16,"&lt;"&amp;EDATE(A26,1))</f>
        <v>27120</v>
      </c>
      <c r="C26" s="70" t="n">
        <f aca="false">Assumptions!$C$22+Assumptions!$C$23</f>
        <v>375</v>
      </c>
      <c r="D26" s="70" t="n">
        <f aca="false">IF(A26&gt;=DATE(2027,4,1),Assumptions!$C$24,0)</f>
        <v>3000</v>
      </c>
      <c r="E26" s="70" t="n">
        <f aca="false">IF(A26=DATE(2027,3,1),Assumptions!$C$29,0)</f>
        <v>0</v>
      </c>
      <c r="F26" s="70" t="n">
        <f aca="false">SUM(B26:E26)</f>
        <v>30495</v>
      </c>
      <c r="G26" s="70" t="n">
        <f aca="false">SUM($F$21:F26)</f>
        <v>82070</v>
      </c>
    </row>
    <row r="27" customFormat="false" ht="15" hidden="false" customHeight="false" outlineLevel="0" collapsed="false">
      <c r="A27" s="69" t="n">
        <v>46508</v>
      </c>
      <c r="B27" s="70" t="n">
        <f aca="false">SUMIFS($F$5:$F$16,$D$5:$D$16,"&gt;="&amp;A27,$D$5:$D$16,"&lt;"&amp;EDATE(A27,1))</f>
        <v>35780</v>
      </c>
      <c r="C27" s="70" t="n">
        <f aca="false">Assumptions!$C$22+Assumptions!$C$23</f>
        <v>375</v>
      </c>
      <c r="D27" s="70" t="n">
        <f aca="false">IF(A27&gt;=DATE(2027,4,1),Assumptions!$C$24,0)</f>
        <v>3000</v>
      </c>
      <c r="E27" s="70" t="n">
        <f aca="false">IF(A27=DATE(2027,3,1),Assumptions!$C$29,0)</f>
        <v>0</v>
      </c>
      <c r="F27" s="70" t="n">
        <f aca="false">SUM(B27:E27)</f>
        <v>39155</v>
      </c>
      <c r="G27" s="70" t="n">
        <f aca="false">SUM($F$21:F27)</f>
        <v>121225</v>
      </c>
    </row>
    <row r="28" customFormat="false" ht="15" hidden="false" customHeight="false" outlineLevel="0" collapsed="false">
      <c r="A28" s="69" t="n">
        <v>46539</v>
      </c>
      <c r="B28" s="70" t="n">
        <f aca="false">SUMIFS($F$5:$F$16,$D$5:$D$16,"&gt;="&amp;A28,$D$5:$D$16,"&lt;"&amp;EDATE(A28,1))</f>
        <v>0</v>
      </c>
      <c r="C28" s="70" t="n">
        <f aca="false">Assumptions!$C$22+Assumptions!$C$23</f>
        <v>375</v>
      </c>
      <c r="D28" s="70" t="n">
        <f aca="false">IF(A28&gt;=DATE(2027,4,1),Assumptions!$C$24,0)</f>
        <v>3000</v>
      </c>
      <c r="E28" s="70" t="n">
        <f aca="false">IF(A28=DATE(2027,3,1),Assumptions!$C$29,0)</f>
        <v>0</v>
      </c>
      <c r="F28" s="70" t="n">
        <f aca="false">SUM(B28:E28)</f>
        <v>3375</v>
      </c>
      <c r="G28" s="70" t="n">
        <f aca="false">SUM($F$21:F28)</f>
        <v>124600</v>
      </c>
    </row>
    <row r="29" customFormat="false" ht="15" hidden="false" customHeight="false" outlineLevel="0" collapsed="false">
      <c r="A29" s="69" t="n">
        <v>46569</v>
      </c>
      <c r="B29" s="70" t="n">
        <f aca="false">SUMIFS($F$5:$F$16,$D$5:$D$16,"&gt;="&amp;A29,$D$5:$D$16,"&lt;"&amp;EDATE(A29,1))</f>
        <v>10620</v>
      </c>
      <c r="C29" s="70" t="n">
        <f aca="false">Assumptions!$C$22+Assumptions!$C$23</f>
        <v>375</v>
      </c>
      <c r="D29" s="70" t="n">
        <f aca="false">IF(A29&gt;=DATE(2027,4,1),Assumptions!$C$24,0)</f>
        <v>3000</v>
      </c>
      <c r="E29" s="70" t="n">
        <f aca="false">IF(A29=DATE(2027,3,1),Assumptions!$C$29,0)</f>
        <v>0</v>
      </c>
      <c r="F29" s="70" t="n">
        <f aca="false">SUM(B29:E29)</f>
        <v>13995</v>
      </c>
      <c r="G29" s="70" t="n">
        <f aca="false">SUM($F$21:F29)</f>
        <v>138595</v>
      </c>
    </row>
    <row r="30" customFormat="false" ht="15" hidden="false" customHeight="false" outlineLevel="0" collapsed="false">
      <c r="A30" s="69" t="n">
        <v>46600</v>
      </c>
      <c r="B30" s="70" t="n">
        <f aca="false">SUMIFS($F$5:$F$16,$D$5:$D$16,"&gt;="&amp;A30,$D$5:$D$16,"&lt;"&amp;EDATE(A30,1))</f>
        <v>10930</v>
      </c>
      <c r="C30" s="70" t="n">
        <f aca="false">Assumptions!$C$22+Assumptions!$C$23</f>
        <v>375</v>
      </c>
      <c r="D30" s="70" t="n">
        <f aca="false">IF(A30&gt;=DATE(2027,4,1),Assumptions!$C$24,0)</f>
        <v>3000</v>
      </c>
      <c r="E30" s="70" t="n">
        <f aca="false">IF(A30=DATE(2027,3,1),Assumptions!$C$29,0)</f>
        <v>0</v>
      </c>
      <c r="F30" s="70" t="n">
        <f aca="false">SUM(B30:E30)</f>
        <v>14305</v>
      </c>
      <c r="G30" s="70" t="n">
        <f aca="false">SUM($F$21:F30)</f>
        <v>152900</v>
      </c>
    </row>
    <row r="31" customFormat="false" ht="15" hidden="false" customHeight="false" outlineLevel="0" collapsed="false">
      <c r="A31" s="69" t="n">
        <v>46631</v>
      </c>
      <c r="B31" s="70" t="n">
        <f aca="false">SUMIFS($F$5:$F$16,$D$5:$D$16,"&gt;="&amp;A31,$D$5:$D$16,"&lt;"&amp;EDATE(A31,1))</f>
        <v>2310</v>
      </c>
      <c r="C31" s="70" t="n">
        <f aca="false">Assumptions!$C$22+Assumptions!$C$23</f>
        <v>375</v>
      </c>
      <c r="D31" s="70" t="n">
        <f aca="false">IF(A31&gt;=DATE(2027,4,1),Assumptions!$C$24,0)</f>
        <v>3000</v>
      </c>
      <c r="E31" s="70" t="n">
        <f aca="false">IF(A31=DATE(2027,3,1),Assumptions!$C$29,0)</f>
        <v>0</v>
      </c>
      <c r="F31" s="70" t="n">
        <f aca="false">SUM(B31:E31)</f>
        <v>5685</v>
      </c>
      <c r="G31" s="70" t="n">
        <f aca="false">SUM($F$21:F31)</f>
        <v>158585</v>
      </c>
    </row>
    <row r="32" customFormat="false" ht="15" hidden="false" customHeight="false" outlineLevel="0" collapsed="false">
      <c r="A32" s="69" t="n">
        <v>46661</v>
      </c>
      <c r="B32" s="70" t="n">
        <f aca="false">SUMIFS($F$5:$F$16,$D$5:$D$16,"&gt;="&amp;A32,$D$5:$D$16,"&lt;"&amp;EDATE(A32,1))</f>
        <v>1540</v>
      </c>
      <c r="C32" s="70" t="n">
        <f aca="false">Assumptions!$C$22+Assumptions!$C$23</f>
        <v>375</v>
      </c>
      <c r="D32" s="70" t="n">
        <f aca="false">IF(A32&gt;=DATE(2027,4,1),Assumptions!$C$24,0)</f>
        <v>3000</v>
      </c>
      <c r="E32" s="70" t="n">
        <f aca="false">IF(A32=DATE(2027,3,1),Assumptions!$C$29,0)</f>
        <v>0</v>
      </c>
      <c r="F32" s="70" t="n">
        <f aca="false">SUM(B32:E32)</f>
        <v>4915</v>
      </c>
      <c r="G32" s="70" t="n">
        <f aca="false">SUM($F$21:F32)</f>
        <v>163500</v>
      </c>
    </row>
    <row r="33" customFormat="false" ht="15" hidden="false" customHeight="false" outlineLevel="0" collapsed="false">
      <c r="A33" s="3" t="s">
        <v>753</v>
      </c>
      <c r="B33" s="25" t="n">
        <f aca="false">SUM(B21:B32)</f>
        <v>133500</v>
      </c>
      <c r="C33" s="25" t="n">
        <f aca="false">SUM(C21:C32)</f>
        <v>4500</v>
      </c>
      <c r="D33" s="25" t="n">
        <f aca="false">SUM(D21:D32)</f>
        <v>21000</v>
      </c>
      <c r="E33" s="25" t="n">
        <f aca="false">SUM(E21:E32)</f>
        <v>4500</v>
      </c>
      <c r="F33" s="25" t="n">
        <f aca="false">SUM(F21:F32)</f>
        <v>163500</v>
      </c>
    </row>
    <row r="34" customFormat="false" ht="15" hidden="false" customHeight="false" outlineLevel="0" collapsed="false">
      <c r="A34" s="2" t="s">
        <v>754</v>
      </c>
      <c r="F34" s="2" t="str">
        <f aca="false">IF(ABS(F33-'TCO 5 years'!B12)&lt;1,"OK","Check")</f>
        <v>OK</v>
      </c>
    </row>
    <row r="35" customFormat="false" ht="15" hidden="false" customHeight="false" outlineLevel="0" collapsed="false">
      <c r="A35" s="3" t="s">
        <v>755</v>
      </c>
    </row>
    <row r="36" customFormat="false" ht="29.85" hidden="false" customHeight="false" outlineLevel="0" collapsed="false">
      <c r="A36" s="26" t="s">
        <v>756</v>
      </c>
      <c r="B36" s="26" t="s">
        <v>757</v>
      </c>
      <c r="C36" s="26" t="s">
        <v>749</v>
      </c>
      <c r="D36" s="26" t="s">
        <v>750</v>
      </c>
      <c r="E36" s="26" t="s">
        <v>751</v>
      </c>
      <c r="F36" s="26" t="s">
        <v>436</v>
      </c>
    </row>
    <row r="37" customFormat="false" ht="15" hidden="false" customHeight="false" outlineLevel="0" collapsed="false">
      <c r="A37" s="5" t="s">
        <v>724</v>
      </c>
      <c r="B37" s="44" t="n">
        <v>0</v>
      </c>
      <c r="C37" s="44" t="n">
        <f aca="false">'TCO 5 years'!C9</f>
        <v>4635</v>
      </c>
      <c r="D37" s="44" t="n">
        <f aca="false">'TCO 5 years'!C10</f>
        <v>37080</v>
      </c>
      <c r="E37" s="44" t="n">
        <f aca="false">'TCO 5 years'!C11</f>
        <v>3000</v>
      </c>
      <c r="F37" s="44" t="n">
        <f aca="false">'TCO 5 years'!C12</f>
        <v>44715</v>
      </c>
    </row>
    <row r="38" customFormat="false" ht="15" hidden="false" customHeight="false" outlineLevel="0" collapsed="false">
      <c r="A38" s="5" t="s">
        <v>725</v>
      </c>
      <c r="B38" s="44" t="n">
        <v>0</v>
      </c>
      <c r="C38" s="44" t="n">
        <f aca="false">'TCO 5 years'!D9</f>
        <v>4774.05</v>
      </c>
      <c r="D38" s="44" t="n">
        <f aca="false">'TCO 5 years'!D10</f>
        <v>38192.4</v>
      </c>
      <c r="E38" s="44" t="n">
        <f aca="false">'TCO 5 years'!D11</f>
        <v>3000</v>
      </c>
      <c r="F38" s="44" t="n">
        <f aca="false">'TCO 5 years'!D12</f>
        <v>45966.45</v>
      </c>
    </row>
    <row r="39" customFormat="false" ht="15" hidden="false" customHeight="false" outlineLevel="0" collapsed="false">
      <c r="A39" s="5" t="s">
        <v>726</v>
      </c>
      <c r="B39" s="44" t="n">
        <v>0</v>
      </c>
      <c r="C39" s="44" t="n">
        <f aca="false">'TCO 5 years'!E9</f>
        <v>4917.2715</v>
      </c>
      <c r="D39" s="44" t="n">
        <f aca="false">'TCO 5 years'!E10</f>
        <v>39338.172</v>
      </c>
      <c r="E39" s="44" t="n">
        <f aca="false">'TCO 5 years'!E11</f>
        <v>3000</v>
      </c>
      <c r="F39" s="44" t="n">
        <f aca="false">'TCO 5 years'!E12</f>
        <v>47255.4435</v>
      </c>
    </row>
    <row r="40" customFormat="false" ht="15" hidden="false" customHeight="false" outlineLevel="0" collapsed="false">
      <c r="A40" s="5" t="s">
        <v>727</v>
      </c>
      <c r="B40" s="44" t="n">
        <v>0</v>
      </c>
      <c r="C40" s="44" t="n">
        <f aca="false">'TCO 5 years'!F9</f>
        <v>5064.789645</v>
      </c>
      <c r="D40" s="44" t="n">
        <f aca="false">'TCO 5 years'!F10</f>
        <v>40518.31716</v>
      </c>
      <c r="E40" s="44" t="n">
        <f aca="false">'TCO 5 years'!F11</f>
        <v>3000</v>
      </c>
      <c r="F40" s="44" t="n">
        <f aca="false">'TCO 5 years'!F12</f>
        <v>48583.106805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26"/>
    <col collapsed="false" customWidth="true" hidden="false" outlineLevel="0" max="3" min="3" style="0" width="7"/>
    <col collapsed="false" customWidth="true" hidden="false" outlineLevel="0" max="4" min="4" style="0" width="15"/>
    <col collapsed="false" customWidth="true" hidden="false" outlineLevel="0" max="5" min="5" style="0" width="24"/>
    <col collapsed="false" customWidth="true" hidden="false" outlineLevel="0" max="6" min="6" style="0" width="13"/>
    <col collapsed="false" customWidth="true" hidden="false" outlineLevel="0" max="7" min="7" style="0" width="14"/>
  </cols>
  <sheetData>
    <row r="1" customFormat="false" ht="17.35" hidden="false" customHeight="false" outlineLevel="0" collapsed="false">
      <c r="A1" s="1" t="s">
        <v>758</v>
      </c>
    </row>
    <row r="2" customFormat="false" ht="15" hidden="false" customHeight="false" outlineLevel="0" collapsed="false">
      <c r="A2" s="2" t="s">
        <v>759</v>
      </c>
    </row>
    <row r="4" customFormat="false" ht="29.85" hidden="false" customHeight="false" outlineLevel="0" collapsed="false">
      <c r="A4" s="26" t="s">
        <v>707</v>
      </c>
      <c r="B4" s="26" t="s">
        <v>760</v>
      </c>
      <c r="C4" s="26" t="s">
        <v>761</v>
      </c>
      <c r="D4" s="26" t="s">
        <v>762</v>
      </c>
      <c r="E4" s="26" t="s">
        <v>763</v>
      </c>
      <c r="F4" s="26" t="s">
        <v>764</v>
      </c>
      <c r="G4" s="26" t="s">
        <v>765</v>
      </c>
    </row>
    <row r="5" customFormat="false" ht="15" hidden="false" customHeight="false" outlineLevel="0" collapsed="false">
      <c r="A5" s="3" t="s">
        <v>766</v>
      </c>
      <c r="B5" s="2" t="s">
        <v>767</v>
      </c>
    </row>
    <row r="6" customFormat="false" ht="26.85" hidden="false" customHeight="false" outlineLevel="0" collapsed="false">
      <c r="A6" s="13" t="s">
        <v>768</v>
      </c>
      <c r="B6" s="13" t="s">
        <v>769</v>
      </c>
      <c r="C6" s="71" t="n">
        <v>2</v>
      </c>
      <c r="D6" s="72" t="n">
        <v>0.0605</v>
      </c>
      <c r="E6" s="13" t="s">
        <v>770</v>
      </c>
      <c r="F6" s="73" t="n">
        <v>730</v>
      </c>
      <c r="G6" s="74" t="n">
        <f aca="false">C6*D6*F6</f>
        <v>88.33</v>
      </c>
    </row>
    <row r="7" customFormat="false" ht="15" hidden="false" customHeight="false" outlineLevel="0" collapsed="false">
      <c r="A7" s="13" t="s">
        <v>771</v>
      </c>
      <c r="B7" s="13" t="s">
        <v>772</v>
      </c>
      <c r="C7" s="71" t="n">
        <v>2</v>
      </c>
      <c r="D7" s="72" t="n">
        <v>0.1256</v>
      </c>
      <c r="E7" s="13" t="s">
        <v>773</v>
      </c>
      <c r="F7" s="73" t="n">
        <v>50</v>
      </c>
      <c r="G7" s="74" t="n">
        <f aca="false">C7*D7*F7</f>
        <v>12.56</v>
      </c>
    </row>
    <row r="8" customFormat="false" ht="15" hidden="false" customHeight="false" outlineLevel="0" collapsed="false">
      <c r="A8" s="13" t="s">
        <v>774</v>
      </c>
      <c r="B8" s="13" t="s">
        <v>769</v>
      </c>
      <c r="C8" s="71" t="n">
        <v>2</v>
      </c>
      <c r="D8" s="72" t="n">
        <v>0.0605</v>
      </c>
      <c r="E8" s="13" t="s">
        <v>770</v>
      </c>
      <c r="F8" s="73" t="n">
        <v>730</v>
      </c>
      <c r="G8" s="74" t="n">
        <f aca="false">C8*D8*F8</f>
        <v>88.33</v>
      </c>
    </row>
    <row r="9" customFormat="false" ht="15" hidden="false" customHeight="false" outlineLevel="0" collapsed="false">
      <c r="A9" s="13" t="s">
        <v>775</v>
      </c>
      <c r="B9" s="13" t="s">
        <v>772</v>
      </c>
      <c r="C9" s="71" t="n">
        <v>2</v>
      </c>
      <c r="D9" s="72" t="n">
        <v>0.1256</v>
      </c>
      <c r="E9" s="13" t="s">
        <v>773</v>
      </c>
      <c r="F9" s="73" t="n">
        <v>50</v>
      </c>
      <c r="G9" s="74" t="n">
        <f aca="false">C9*D9*F9</f>
        <v>12.56</v>
      </c>
    </row>
    <row r="10" customFormat="false" ht="15" hidden="false" customHeight="false" outlineLevel="0" collapsed="false">
      <c r="A10" s="13" t="s">
        <v>776</v>
      </c>
      <c r="B10" s="13" t="s">
        <v>777</v>
      </c>
      <c r="C10" s="71" t="n">
        <v>2</v>
      </c>
      <c r="D10" s="72" t="n">
        <v>0.09636</v>
      </c>
      <c r="E10" s="13" t="s">
        <v>773</v>
      </c>
      <c r="F10" s="73" t="n">
        <v>100</v>
      </c>
      <c r="G10" s="74" t="n">
        <f aca="false">C10*D10*F10</f>
        <v>19.272</v>
      </c>
    </row>
    <row r="11" customFormat="false" ht="15" hidden="false" customHeight="false" outlineLevel="0" collapsed="false">
      <c r="A11" s="13" t="s">
        <v>778</v>
      </c>
      <c r="B11" s="13" t="s">
        <v>779</v>
      </c>
      <c r="C11" s="71" t="n">
        <v>1</v>
      </c>
      <c r="D11" s="72" t="n">
        <v>0.0095</v>
      </c>
      <c r="E11" s="13" t="s">
        <v>770</v>
      </c>
      <c r="F11" s="73" t="n">
        <v>730</v>
      </c>
      <c r="G11" s="74" t="n">
        <f aca="false">C11*D11*F11</f>
        <v>6.935</v>
      </c>
    </row>
    <row r="12" customFormat="false" ht="15" hidden="false" customHeight="false" outlineLevel="0" collapsed="false">
      <c r="A12" s="13" t="s">
        <v>780</v>
      </c>
      <c r="B12" s="13" t="s">
        <v>781</v>
      </c>
      <c r="C12" s="71" t="n">
        <v>1</v>
      </c>
      <c r="D12" s="72" t="n">
        <v>0.00319</v>
      </c>
      <c r="E12" s="13" t="s">
        <v>770</v>
      </c>
      <c r="F12" s="73" t="n">
        <v>730</v>
      </c>
      <c r="G12" s="74" t="n">
        <f aca="false">C12*D12*F12</f>
        <v>2.3287</v>
      </c>
    </row>
    <row r="13" customFormat="false" ht="15" hidden="false" customHeight="false" outlineLevel="0" collapsed="false">
      <c r="A13" s="13" t="s">
        <v>782</v>
      </c>
      <c r="B13" s="13" t="s">
        <v>779</v>
      </c>
      <c r="C13" s="71" t="n">
        <v>1</v>
      </c>
      <c r="D13" s="72" t="n">
        <v>0.0032</v>
      </c>
      <c r="E13" s="13" t="s">
        <v>770</v>
      </c>
      <c r="F13" s="73" t="n">
        <v>730</v>
      </c>
      <c r="G13" s="74" t="n">
        <f aca="false">C13*D13*F13</f>
        <v>2.336</v>
      </c>
    </row>
    <row r="14" customFormat="false" ht="15" hidden="false" customHeight="false" outlineLevel="0" collapsed="false">
      <c r="A14" s="13" t="s">
        <v>783</v>
      </c>
      <c r="B14" s="13" t="s">
        <v>784</v>
      </c>
      <c r="C14" s="71" t="n">
        <v>1</v>
      </c>
      <c r="D14" s="72" t="n">
        <v>0.0157</v>
      </c>
      <c r="E14" s="13" t="s">
        <v>785</v>
      </c>
      <c r="F14" s="73" t="n">
        <v>250</v>
      </c>
      <c r="G14" s="74" t="n">
        <f aca="false">C14*D14*F14</f>
        <v>3.925</v>
      </c>
    </row>
    <row r="15" customFormat="false" ht="15" hidden="false" customHeight="false" outlineLevel="0" collapsed="false">
      <c r="F15" s="3" t="s">
        <v>786</v>
      </c>
      <c r="G15" s="75" t="n">
        <f aca="false">SUM(G6:G14)</f>
        <v>236.5767</v>
      </c>
    </row>
    <row r="17" customFormat="false" ht="15" hidden="false" customHeight="false" outlineLevel="0" collapsed="false">
      <c r="A17" s="3" t="s">
        <v>787</v>
      </c>
      <c r="B17" s="2" t="s">
        <v>788</v>
      </c>
    </row>
    <row r="18" customFormat="false" ht="26.85" hidden="false" customHeight="false" outlineLevel="0" collapsed="false">
      <c r="A18" s="13" t="s">
        <v>789</v>
      </c>
      <c r="B18" s="13" t="s">
        <v>769</v>
      </c>
      <c r="C18" s="71" t="n">
        <v>1</v>
      </c>
      <c r="D18" s="72" t="n">
        <v>37.54</v>
      </c>
      <c r="E18" s="13" t="s">
        <v>790</v>
      </c>
      <c r="F18" s="73" t="n">
        <v>1</v>
      </c>
      <c r="G18" s="74" t="n">
        <f aca="false">C18*D18*F18</f>
        <v>37.54</v>
      </c>
    </row>
    <row r="19" customFormat="false" ht="15" hidden="false" customHeight="false" outlineLevel="0" collapsed="false">
      <c r="A19" s="13" t="s">
        <v>791</v>
      </c>
      <c r="B19" s="13" t="s">
        <v>792</v>
      </c>
      <c r="C19" s="71" t="n">
        <v>1</v>
      </c>
      <c r="D19" s="72" t="n">
        <v>0.1256</v>
      </c>
      <c r="E19" s="13" t="s">
        <v>773</v>
      </c>
      <c r="F19" s="73" t="n">
        <v>50</v>
      </c>
      <c r="G19" s="74" t="n">
        <f aca="false">C19*D19*F19</f>
        <v>6.28</v>
      </c>
    </row>
    <row r="20" customFormat="false" ht="15" hidden="false" customHeight="false" outlineLevel="0" collapsed="false">
      <c r="A20" s="13" t="s">
        <v>793</v>
      </c>
      <c r="B20" s="13" t="s">
        <v>794</v>
      </c>
      <c r="C20" s="71" t="n">
        <v>1</v>
      </c>
      <c r="D20" s="72" t="n">
        <v>0.0439</v>
      </c>
      <c r="E20" s="13" t="s">
        <v>770</v>
      </c>
      <c r="F20" s="73" t="n">
        <v>730</v>
      </c>
      <c r="G20" s="74" t="n">
        <f aca="false">C20*D20*F20</f>
        <v>32.047</v>
      </c>
    </row>
    <row r="21" customFormat="false" ht="15" hidden="false" customHeight="false" outlineLevel="0" collapsed="false">
      <c r="A21" s="13" t="s">
        <v>795</v>
      </c>
      <c r="B21" s="13" t="s">
        <v>781</v>
      </c>
      <c r="C21" s="71" t="n">
        <v>2</v>
      </c>
      <c r="D21" s="72" t="n">
        <v>0.00319</v>
      </c>
      <c r="E21" s="13" t="s">
        <v>770</v>
      </c>
      <c r="F21" s="73" t="n">
        <v>730</v>
      </c>
      <c r="G21" s="74" t="n">
        <f aca="false">C21*D21*F21</f>
        <v>4.6574</v>
      </c>
    </row>
    <row r="22" customFormat="false" ht="15" hidden="false" customHeight="false" outlineLevel="0" collapsed="false">
      <c r="F22" s="3" t="s">
        <v>786</v>
      </c>
      <c r="G22" s="75" t="n">
        <f aca="false">SUM(G18:G21)</f>
        <v>80.5244</v>
      </c>
    </row>
    <row r="24" customFormat="false" ht="15" hidden="false" customHeight="false" outlineLevel="0" collapsed="false">
      <c r="A24" s="3" t="s">
        <v>796</v>
      </c>
      <c r="B24" s="2" t="s">
        <v>797</v>
      </c>
    </row>
    <row r="25" customFormat="false" ht="15" hidden="false" customHeight="false" outlineLevel="0" collapsed="false">
      <c r="A25" s="13" t="s">
        <v>798</v>
      </c>
      <c r="B25" s="13" t="s">
        <v>799</v>
      </c>
      <c r="C25" s="71" t="n">
        <v>1</v>
      </c>
      <c r="D25" s="72" t="n">
        <v>0.0244</v>
      </c>
      <c r="E25" s="13" t="s">
        <v>770</v>
      </c>
      <c r="F25" s="73" t="n">
        <v>730</v>
      </c>
      <c r="G25" s="74" t="n">
        <f aca="false">C25*D25*F25</f>
        <v>17.812</v>
      </c>
    </row>
    <row r="26" customFormat="false" ht="15" hidden="false" customHeight="false" outlineLevel="0" collapsed="false">
      <c r="A26" s="13" t="s">
        <v>800</v>
      </c>
      <c r="B26" s="13" t="s">
        <v>781</v>
      </c>
      <c r="C26" s="71" t="n">
        <v>1</v>
      </c>
      <c r="D26" s="72" t="n">
        <v>0.00319</v>
      </c>
      <c r="E26" s="13" t="s">
        <v>770</v>
      </c>
      <c r="F26" s="73" t="n">
        <v>730</v>
      </c>
      <c r="G26" s="74" t="n">
        <f aca="false">C26*D26*F26</f>
        <v>2.3287</v>
      </c>
    </row>
    <row r="27" customFormat="false" ht="15" hidden="false" customHeight="false" outlineLevel="0" collapsed="false">
      <c r="F27" s="3" t="s">
        <v>786</v>
      </c>
      <c r="G27" s="75" t="n">
        <f aca="false">SUM(G25:G26)</f>
        <v>20.1407</v>
      </c>
    </row>
    <row r="29" customFormat="false" ht="15" hidden="false" customHeight="false" outlineLevel="0" collapsed="false">
      <c r="A29" s="3" t="s">
        <v>801</v>
      </c>
      <c r="B29" s="2" t="s">
        <v>802</v>
      </c>
    </row>
    <row r="30" customFormat="false" ht="26.85" hidden="false" customHeight="false" outlineLevel="0" collapsed="false">
      <c r="A30" s="13" t="s">
        <v>803</v>
      </c>
      <c r="B30" s="13" t="s">
        <v>804</v>
      </c>
      <c r="C30" s="71" t="n">
        <v>1</v>
      </c>
      <c r="D30" s="72" t="n">
        <v>0.0157</v>
      </c>
      <c r="E30" s="13" t="s">
        <v>785</v>
      </c>
      <c r="F30" s="73" t="n">
        <v>300</v>
      </c>
      <c r="G30" s="74" t="n">
        <f aca="false">C30*D30*F30</f>
        <v>4.71</v>
      </c>
    </row>
    <row r="31" customFormat="false" ht="15" hidden="false" customHeight="false" outlineLevel="0" collapsed="false">
      <c r="A31" s="13" t="s">
        <v>805</v>
      </c>
      <c r="B31" s="13" t="s">
        <v>806</v>
      </c>
      <c r="C31" s="71" t="n">
        <v>1</v>
      </c>
      <c r="D31" s="72" t="n">
        <v>0.0122</v>
      </c>
      <c r="E31" s="13" t="s">
        <v>773</v>
      </c>
      <c r="F31" s="73" t="n">
        <v>400</v>
      </c>
      <c r="G31" s="74" t="n">
        <f aca="false">C31*D31*F31</f>
        <v>4.88</v>
      </c>
    </row>
    <row r="32" customFormat="false" ht="15" hidden="false" customHeight="false" outlineLevel="0" collapsed="false">
      <c r="F32" s="3" t="s">
        <v>786</v>
      </c>
      <c r="G32" s="75" t="n">
        <f aca="false">SUM(G30:G31)</f>
        <v>9.59</v>
      </c>
    </row>
    <row r="34" customFormat="false" ht="15" hidden="false" customHeight="false" outlineLevel="0" collapsed="false">
      <c r="A34" s="3" t="s">
        <v>807</v>
      </c>
      <c r="B34" s="2" t="s">
        <v>808</v>
      </c>
    </row>
    <row r="35" customFormat="false" ht="15" hidden="false" customHeight="false" outlineLevel="0" collapsed="false">
      <c r="A35" s="13" t="s">
        <v>809</v>
      </c>
      <c r="B35" s="13" t="s">
        <v>810</v>
      </c>
      <c r="C35" s="71" t="n">
        <v>1</v>
      </c>
      <c r="D35" s="72" t="n">
        <v>3.58</v>
      </c>
      <c r="E35" s="13" t="s">
        <v>811</v>
      </c>
      <c r="F35" s="73" t="n">
        <v>1</v>
      </c>
      <c r="G35" s="74" t="n">
        <f aca="false">C35*D35*F35</f>
        <v>3.58</v>
      </c>
    </row>
    <row r="36" customFormat="false" ht="15" hidden="false" customHeight="false" outlineLevel="0" collapsed="false">
      <c r="A36" s="13" t="s">
        <v>812</v>
      </c>
      <c r="B36" s="13" t="s">
        <v>813</v>
      </c>
      <c r="C36" s="71" t="n">
        <v>1</v>
      </c>
      <c r="D36" s="72" t="n">
        <v>0.0605</v>
      </c>
      <c r="E36" s="13" t="s">
        <v>770</v>
      </c>
      <c r="F36" s="73" t="n">
        <v>8</v>
      </c>
      <c r="G36" s="74" t="n">
        <f aca="false">C36*D36*F36</f>
        <v>0.484</v>
      </c>
    </row>
    <row r="37" customFormat="false" ht="15" hidden="false" customHeight="false" outlineLevel="0" collapsed="false">
      <c r="F37" s="3" t="s">
        <v>786</v>
      </c>
      <c r="G37" s="75" t="n">
        <f aca="false">SUM(G35:G36)</f>
        <v>4.064</v>
      </c>
    </row>
    <row r="39" customFormat="false" ht="15" hidden="false" customHeight="false" outlineLevel="0" collapsed="false">
      <c r="A39" s="3" t="s">
        <v>814</v>
      </c>
      <c r="G39" s="75" t="n">
        <f aca="false">G15+G22+G27+G32+G37</f>
        <v>350.8958</v>
      </c>
    </row>
    <row r="40" customFormat="false" ht="15" hidden="false" customHeight="false" outlineLevel="0" collapsed="false">
      <c r="A40" s="3" t="s">
        <v>815</v>
      </c>
      <c r="G40" s="76" t="n">
        <v>375</v>
      </c>
    </row>
    <row r="41" customFormat="false" ht="15" hidden="false" customHeight="false" outlineLevel="0" collapsed="false">
      <c r="A41" s="5" t="s">
        <v>816</v>
      </c>
      <c r="F41" s="77" t="n">
        <f aca="false">G41/G39</f>
        <v>0.0686933271928589</v>
      </c>
      <c r="G41" s="78" t="n">
        <f aca="false">G40-G39</f>
        <v>24.1042</v>
      </c>
    </row>
    <row r="43" customFormat="false" ht="15" hidden="false" customHeight="false" outlineLevel="0" collapsed="false">
      <c r="A43" s="3" t="s">
        <v>817</v>
      </c>
    </row>
    <row r="44" customFormat="false" ht="29.85" hidden="false" customHeight="false" outlineLevel="0" collapsed="false">
      <c r="A44" s="26" t="s">
        <v>756</v>
      </c>
      <c r="B44" s="26"/>
      <c r="C44" s="26"/>
      <c r="D44" s="26" t="s">
        <v>818</v>
      </c>
      <c r="E44" s="26"/>
      <c r="F44" s="26"/>
      <c r="G44" s="26" t="s">
        <v>819</v>
      </c>
    </row>
    <row r="45" customFormat="false" ht="15" hidden="false" customHeight="false" outlineLevel="0" collapsed="false">
      <c r="A45" s="5" t="s">
        <v>723</v>
      </c>
      <c r="D45" s="78" t="n">
        <f aca="false">$G$40*(1+Assumptions!$C$27)^0</f>
        <v>375</v>
      </c>
      <c r="G45" s="79" t="n">
        <f aca="false">ROUND(D45*12,0)</f>
        <v>4500</v>
      </c>
    </row>
    <row r="46" customFormat="false" ht="15" hidden="false" customHeight="false" outlineLevel="0" collapsed="false">
      <c r="A46" s="5" t="s">
        <v>724</v>
      </c>
      <c r="D46" s="78" t="n">
        <f aca="false">$G$40*(1+Assumptions!$C$27)^1</f>
        <v>386.25</v>
      </c>
      <c r="G46" s="79" t="n">
        <f aca="false">ROUND(D46*12,0)</f>
        <v>4635</v>
      </c>
    </row>
    <row r="47" customFormat="false" ht="15" hidden="false" customHeight="false" outlineLevel="0" collapsed="false">
      <c r="A47" s="5" t="s">
        <v>725</v>
      </c>
      <c r="D47" s="78" t="n">
        <f aca="false">$G$40*(1+Assumptions!$C$27)^2</f>
        <v>397.8375</v>
      </c>
      <c r="G47" s="79" t="n">
        <f aca="false">ROUND(D47*12,0)</f>
        <v>4774</v>
      </c>
    </row>
    <row r="48" customFormat="false" ht="15" hidden="false" customHeight="false" outlineLevel="0" collapsed="false">
      <c r="A48" s="5" t="s">
        <v>726</v>
      </c>
      <c r="D48" s="78" t="n">
        <f aca="false">$G$40*(1+Assumptions!$C$27)^3</f>
        <v>409.772625</v>
      </c>
      <c r="G48" s="79" t="n">
        <f aca="false">ROUND(D48*12,0)</f>
        <v>4917</v>
      </c>
    </row>
    <row r="49" customFormat="false" ht="15" hidden="false" customHeight="false" outlineLevel="0" collapsed="false">
      <c r="A49" s="5" t="s">
        <v>727</v>
      </c>
      <c r="D49" s="78" t="n">
        <f aca="false">$G$40*(1+Assumptions!$C$27)^4</f>
        <v>422.06580375</v>
      </c>
      <c r="G49" s="79" t="n">
        <f aca="false">ROUND(D49*12,0)</f>
        <v>5065</v>
      </c>
    </row>
    <row r="50" customFormat="false" ht="15" hidden="false" customHeight="false" outlineLevel="0" collapsed="false">
      <c r="A50" s="3" t="s">
        <v>728</v>
      </c>
      <c r="G50" s="25" t="n">
        <f aca="false">SUM(G45:G49)</f>
        <v>23891</v>
      </c>
    </row>
    <row r="52" customFormat="false" ht="15" hidden="false" customHeight="false" outlineLevel="0" collapsed="false">
      <c r="A52" s="3" t="s">
        <v>4</v>
      </c>
    </row>
    <row r="53" customFormat="false" ht="15" hidden="false" customHeight="false" outlineLevel="0" collapsed="false">
      <c r="A53" s="5" t="s">
        <v>820</v>
      </c>
    </row>
    <row r="54" customFormat="false" ht="15" hidden="false" customHeight="false" outlineLevel="0" collapsed="false">
      <c r="A54" s="5" t="s">
        <v>821</v>
      </c>
    </row>
    <row r="55" customFormat="false" ht="15" hidden="false" customHeight="false" outlineLevel="0" collapsed="false">
      <c r="A55" s="5" t="s">
        <v>822</v>
      </c>
    </row>
    <row r="56" customFormat="false" ht="15" hidden="false" customHeight="false" outlineLevel="0" collapsed="false">
      <c r="A56" s="5" t="s">
        <v>823</v>
      </c>
    </row>
    <row r="57" customFormat="false" ht="15" hidden="false" customHeight="false" outlineLevel="0" collapsed="false">
      <c r="A57" s="5" t="s">
        <v>824</v>
      </c>
    </row>
    <row r="58" customFormat="false" ht="15" hidden="false" customHeight="false" outlineLevel="0" collapsed="false">
      <c r="A58" s="5" t="s">
        <v>825</v>
      </c>
    </row>
    <row r="59" customFormat="false" ht="15" hidden="false" customHeight="false" outlineLevel="0" collapsed="false">
      <c r="A59" s="5" t="s">
        <v>826</v>
      </c>
    </row>
    <row r="61" customFormat="false" ht="15" hidden="false" customHeight="false" outlineLevel="0" collapsed="false">
      <c r="A61" s="3" t="s">
        <v>827</v>
      </c>
    </row>
    <row r="62" customFormat="false" ht="15" hidden="false" customHeight="false" outlineLevel="0" collapsed="false">
      <c r="A62" s="80" t="s">
        <v>828</v>
      </c>
    </row>
    <row r="63" customFormat="false" ht="15" hidden="false" customHeight="false" outlineLevel="0" collapsed="false">
      <c r="A63" s="80" t="s">
        <v>829</v>
      </c>
    </row>
    <row r="64" customFormat="false" ht="15" hidden="false" customHeight="false" outlineLevel="0" collapsed="false">
      <c r="A64" s="80" t="s">
        <v>830</v>
      </c>
    </row>
    <row r="65" customFormat="false" ht="15" hidden="false" customHeight="false" outlineLevel="0" collapsed="false">
      <c r="A65" s="80" t="s">
        <v>831</v>
      </c>
    </row>
    <row r="66" customFormat="false" ht="15" hidden="false" customHeight="false" outlineLevel="0" collapsed="false">
      <c r="A66" s="80" t="s">
        <v>832</v>
      </c>
    </row>
    <row r="67" customFormat="false" ht="15" hidden="false" customHeight="false" outlineLevel="0" collapsed="false">
      <c r="A67" s="80" t="s">
        <v>833</v>
      </c>
    </row>
  </sheetData>
  <hyperlinks>
    <hyperlink ref="A62" r:id="rId1" display="OVHcloud Public Cloud price list (USD, excl. VAT), read 18 Oct 2026"/>
    <hyperlink ref="A63" r:id="rId2" display="OVHcloud: Public Cloud pricing update from 1 October 2026"/>
    <hyperlink ref="A64" r:id="rId3" display="Hetzner Storage Box"/>
    <hyperlink ref="A65" r:id="rId4" display="Hetzner Storage Box BX11 listing (€3.20 a month)"/>
    <hyperlink ref="A66" r:id="rId5" display="Hosting price increases 2026: Hetzner and OVHcloud"/>
    <hyperlink ref="A67" r:id="rId6" display="EUR/USD history 2026 (1.1239 on 16 Oct 20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36"/>
    <col collapsed="false" customWidth="true" hidden="false" outlineLevel="0" max="4" min="4" style="0" width="64"/>
    <col collapsed="false" customWidth="true" hidden="false" outlineLevel="0" max="5" min="5" style="0" width="48"/>
  </cols>
  <sheetData>
    <row r="1" customFormat="false" ht="17.35" hidden="false" customHeight="false" outlineLevel="0" collapsed="false">
      <c r="A1" s="1" t="s">
        <v>834</v>
      </c>
    </row>
    <row r="2" customFormat="false" ht="15" hidden="false" customHeight="false" outlineLevel="0" collapsed="false">
      <c r="A2" s="2" t="s">
        <v>835</v>
      </c>
    </row>
    <row r="4" customFormat="false" ht="15" hidden="false" customHeight="false" outlineLevel="0" collapsed="false">
      <c r="A4" s="7" t="s">
        <v>836</v>
      </c>
      <c r="B4" s="7" t="s">
        <v>443</v>
      </c>
      <c r="C4" s="7" t="s">
        <v>837</v>
      </c>
      <c r="D4" s="7" t="s">
        <v>838</v>
      </c>
      <c r="E4" s="7" t="s">
        <v>839</v>
      </c>
    </row>
    <row r="5" customFormat="false" ht="39.55" hidden="false" customHeight="false" outlineLevel="0" collapsed="false">
      <c r="A5" s="13" t="n">
        <v>1</v>
      </c>
      <c r="B5" s="13" t="s">
        <v>840</v>
      </c>
      <c r="C5" s="13" t="s">
        <v>841</v>
      </c>
      <c r="D5" s="13" t="s">
        <v>842</v>
      </c>
      <c r="E5" s="13" t="s">
        <v>843</v>
      </c>
    </row>
    <row r="6" customFormat="false" ht="15" hidden="false" customHeight="false" outlineLevel="0" collapsed="false">
      <c r="A6" s="13" t="n">
        <v>2</v>
      </c>
      <c r="B6" s="13" t="s">
        <v>844</v>
      </c>
      <c r="C6" s="13" t="s">
        <v>845</v>
      </c>
      <c r="D6" s="13" t="s">
        <v>846</v>
      </c>
      <c r="E6" s="13" t="s">
        <v>847</v>
      </c>
    </row>
    <row r="7" customFormat="false" ht="39.55" hidden="false" customHeight="false" outlineLevel="0" collapsed="false">
      <c r="A7" s="13" t="n">
        <v>3</v>
      </c>
      <c r="B7" s="13" t="s">
        <v>848</v>
      </c>
      <c r="C7" s="13" t="s">
        <v>849</v>
      </c>
      <c r="D7" s="13" t="s">
        <v>850</v>
      </c>
      <c r="E7" s="13" t="s">
        <v>851</v>
      </c>
    </row>
    <row r="8" customFormat="false" ht="26.85" hidden="false" customHeight="false" outlineLevel="0" collapsed="false">
      <c r="A8" s="13" t="n">
        <v>4</v>
      </c>
      <c r="B8" s="13" t="s">
        <v>852</v>
      </c>
      <c r="C8" s="13" t="s">
        <v>853</v>
      </c>
      <c r="D8" s="13" t="s">
        <v>854</v>
      </c>
      <c r="E8" s="13" t="s">
        <v>855</v>
      </c>
    </row>
    <row r="9" customFormat="false" ht="15" hidden="false" customHeight="false" outlineLevel="0" collapsed="false">
      <c r="A9" s="13" t="n">
        <v>5</v>
      </c>
      <c r="B9" s="13" t="s">
        <v>462</v>
      </c>
      <c r="C9" s="13" t="s">
        <v>856</v>
      </c>
      <c r="D9" s="13" t="s">
        <v>857</v>
      </c>
      <c r="E9" s="13" t="s">
        <v>858</v>
      </c>
    </row>
    <row r="10" customFormat="false" ht="26.85" hidden="false" customHeight="false" outlineLevel="0" collapsed="false">
      <c r="A10" s="13" t="n">
        <v>6</v>
      </c>
      <c r="B10" s="13" t="s">
        <v>859</v>
      </c>
      <c r="C10" s="13" t="s">
        <v>860</v>
      </c>
      <c r="D10" s="13" t="s">
        <v>861</v>
      </c>
      <c r="E10" s="13" t="s">
        <v>862</v>
      </c>
    </row>
    <row r="11" customFormat="false" ht="52.2" hidden="false" customHeight="false" outlineLevel="0" collapsed="false">
      <c r="A11" s="13" t="n">
        <v>7</v>
      </c>
      <c r="B11" s="13" t="s">
        <v>863</v>
      </c>
      <c r="C11" s="13" t="s">
        <v>864</v>
      </c>
      <c r="D11" s="13" t="s">
        <v>865</v>
      </c>
      <c r="E11" s="13" t="s">
        <v>866</v>
      </c>
    </row>
    <row r="12" customFormat="false" ht="26.85" hidden="false" customHeight="false" outlineLevel="0" collapsed="false">
      <c r="A12" s="13" t="n">
        <v>8</v>
      </c>
      <c r="B12" s="13" t="s">
        <v>867</v>
      </c>
      <c r="C12" s="13" t="s">
        <v>868</v>
      </c>
      <c r="D12" s="13" t="s">
        <v>869</v>
      </c>
      <c r="E12" s="13" t="s">
        <v>870</v>
      </c>
    </row>
    <row r="13" customFormat="false" ht="15" hidden="false" customHeight="false" outlineLevel="0" collapsed="false">
      <c r="A13" s="13" t="n">
        <v>9</v>
      </c>
      <c r="B13" s="13" t="s">
        <v>871</v>
      </c>
      <c r="C13" s="13" t="s">
        <v>872</v>
      </c>
      <c r="D13" s="13" t="s">
        <v>873</v>
      </c>
      <c r="E13" s="13" t="s">
        <v>874</v>
      </c>
    </row>
    <row r="14" customFormat="false" ht="15" hidden="false" customHeight="false" outlineLevel="0" collapsed="false">
      <c r="A14" s="13" t="n">
        <v>10</v>
      </c>
      <c r="B14" s="13" t="s">
        <v>875</v>
      </c>
      <c r="C14" s="13" t="s">
        <v>876</v>
      </c>
      <c r="D14" s="13" t="s">
        <v>877</v>
      </c>
      <c r="E14" s="13" t="s">
        <v>858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2026-10-18T21:57:33Z</dcterms:created>
  <dc:creator>openpyxl</dc:creator>
  <dc:description/>
  <dc:language>en-US</dc:language>
  <cp:lastModifiedBy/>
  <dcterms:modified xsi:type="dcterms:W3CDTF">2026-10-18T21:57:33Z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